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tahoeregionalplanning.sharepoint.com/sites/Transportation/Shared Documents/Transit/Tahoe Transit Study (COA)/Funding Framework/"/>
    </mc:Choice>
  </mc:AlternateContent>
  <xr:revisionPtr revIDLastSave="0" documentId="13_ncr:1_{D24545AC-54D8-495F-B82D-B15BD5A003D4}" xr6:coauthVersionLast="47" xr6:coauthVersionMax="47" xr10:uidLastSave="{00000000-0000-0000-0000-000000000000}"/>
  <bookViews>
    <workbookView xWindow="-108" yWindow="-108" windowWidth="23256" windowHeight="13896" firstSheet="8" activeTab="9" xr2:uid="{C42E04B6-61D9-4545-A356-A9440FD52A48}"/>
  </bookViews>
  <sheets>
    <sheet name="For Slides" sheetId="8" state="hidden" r:id="rId1"/>
    <sheet name="ASSUMPTIONS" sheetId="25" r:id="rId2"/>
    <sheet name="SRTP - COMP Factors" sheetId="24" r:id="rId3"/>
    <sheet name="Regional COMPs" sheetId="30" r:id="rId4"/>
    <sheet name="Fare Assumptions" sheetId="26" r:id="rId5"/>
    <sheet name="VRH Rates" sheetId="31" r:id="rId6"/>
    <sheet name="Avg Pass, Mile Per Hr" sheetId="32" r:id="rId7"/>
    <sheet name="Operating " sheetId="11" r:id="rId8"/>
    <sheet name="Zone 1-5 Peak Vehicles" sheetId="33" r:id="rId9"/>
    <sheet name="FY27 Financial Forecast" sheetId="1" r:id="rId10"/>
    <sheet name="FTA FY27 Sub Allocation Exampl " sheetId="23" r:id="rId11"/>
    <sheet name="rt 19,22,28 Cost Share" sheetId="29" r:id="rId12"/>
    <sheet name="FTA Sub Allocation 2024 Model" sheetId="16" r:id="rId13"/>
    <sheet name="FTA FY23 FULL Modified" sheetId="13" r:id="rId14"/>
    <sheet name="FY 2024 5307 &amp; 5340 Table 3 (2)" sheetId="28" r:id="rId15"/>
    <sheet name="Expense Detail" sheetId="7" r:id="rId16"/>
    <sheet name="Service Parameters" sheetId="14" r:id="rId17"/>
    <sheet name="Lake Link 23-24 Data" sheetId="18" r:id="rId18"/>
    <sheet name="TTD 2022 NTD DATA" sheetId="19" r:id="rId19"/>
    <sheet name="SSTMA CY24 Budget" sheetId="21" r:id="rId20"/>
    <sheet name="Operating Assistance" sheetId="10" r:id="rId21"/>
    <sheet name="Kira's Total Revenue Miles" sheetId="27" r:id="rId22"/>
    <sheet name="Capital" sheetId="9" r:id="rId23"/>
  </sheets>
  <definedNames>
    <definedName name="_xlnm._FilterDatabase" localSheetId="14" hidden="1">'FY 2024 5307 &amp; 5340 Table 3 (2)'!$A$21:$E$94</definedName>
    <definedName name="_NST01">#N/A</definedName>
    <definedName name="_Order1" hidden="1">0</definedName>
    <definedName name="_xlnm.Database" localSheetId="14">#REF!</definedName>
    <definedName name="_xlnm.Database">#REF!</definedName>
    <definedName name="FINAL">#N/A</definedName>
    <definedName name="HTML_CodePage" hidden="1">1252</definedName>
    <definedName name="HTML_Control" localSheetId="14" hidden="1">{"'Final'!$A$1:$K$1"}</definedName>
    <definedName name="HTML_Control" hidden="1">{"'Final'!$A$1:$K$1"}</definedName>
    <definedName name="HTML_Description" hidden="1">""</definedName>
    <definedName name="HTML_Email" hidden="1">""</definedName>
    <definedName name="HTML_Header" hidden="1">"Final"</definedName>
    <definedName name="HTML_LastUpdate" hidden="1">"8/21/00"</definedName>
    <definedName name="HTML_LineAfter" hidden="1">FALSE</definedName>
    <definedName name="HTML_LineBefore" hidden="1">FALSE</definedName>
    <definedName name="HTML_Name" hidden="1">"nosekg"</definedName>
    <definedName name="HTML_OBDlg2" hidden="1">TRUE</definedName>
    <definedName name="HTML_OBDlg4" hidden="1">TRUE</definedName>
    <definedName name="HTML_OS" hidden="1">0</definedName>
    <definedName name="HTML_PathFile" hidden="1">"A:\table12 Html.htm"</definedName>
    <definedName name="HTML_Title" hidden="1">"Table 12"</definedName>
    <definedName name="LOCAL_MYSQL_DATE_FORMAT"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_xlnm.Print_Area" localSheetId="0">'For Slides'!$A:$Q</definedName>
    <definedName name="_xlnm.Print_Area" localSheetId="14">'FY 2024 5307 &amp; 5340 Table 3 (2)'!$A$1:$C$700</definedName>
    <definedName name="_xlnm.Print_Area" localSheetId="9">'FY27 Financial Forecast'!$A$2:$N$101</definedName>
    <definedName name="_xlnm.Print_Titles" localSheetId="14">'FY 2024 5307 &amp; 5340 Table 3 (2)'!$1:$9</definedName>
    <definedName name="TABLE1">#N/A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3" i="1" l="1"/>
  <c r="Q66" i="11"/>
  <c r="R66" i="11"/>
  <c r="Q68" i="11"/>
  <c r="R68" i="11"/>
  <c r="R70" i="11" s="1"/>
  <c r="Q69" i="11"/>
  <c r="R69" i="11"/>
  <c r="Q70" i="11"/>
  <c r="Q76" i="11"/>
  <c r="R76" i="11"/>
  <c r="Q78" i="11"/>
  <c r="Q80" i="11" s="1"/>
  <c r="R78" i="11"/>
  <c r="R80" i="11" s="1"/>
  <c r="Q79" i="11"/>
  <c r="R79" i="11"/>
  <c r="Q86" i="11"/>
  <c r="R86" i="11"/>
  <c r="Q88" i="11"/>
  <c r="R88" i="11"/>
  <c r="Q89" i="11"/>
  <c r="R89" i="11"/>
  <c r="Q90" i="11"/>
  <c r="R90" i="11"/>
  <c r="X95" i="11"/>
  <c r="X94" i="11"/>
  <c r="X93" i="11"/>
  <c r="X56" i="11"/>
  <c r="X42" i="11"/>
  <c r="X32" i="11"/>
  <c r="X22" i="11"/>
  <c r="X12" i="11"/>
  <c r="X97" i="11"/>
  <c r="E31" i="33"/>
  <c r="D31" i="33"/>
  <c r="C31" i="33"/>
  <c r="E22" i="33"/>
  <c r="D22" i="33"/>
  <c r="C22" i="33"/>
  <c r="E12" i="33"/>
  <c r="D12" i="33"/>
  <c r="C12" i="33"/>
  <c r="Z95" i="11" l="1"/>
  <c r="I67" i="1" s="1"/>
  <c r="Z94" i="11"/>
  <c r="Z93" i="11"/>
  <c r="Y100" i="11"/>
  <c r="V100" i="11"/>
  <c r="X100" i="11"/>
  <c r="E11" i="23" s="1"/>
  <c r="W95" i="11"/>
  <c r="I72" i="1" s="1"/>
  <c r="W94" i="11"/>
  <c r="Y93" i="11"/>
  <c r="W93" i="11"/>
  <c r="I34" i="1" s="1"/>
  <c r="C56" i="11"/>
  <c r="C54" i="11"/>
  <c r="C41" i="11"/>
  <c r="D41" i="11"/>
  <c r="E41" i="11"/>
  <c r="F41" i="11"/>
  <c r="G41" i="11"/>
  <c r="H41" i="11"/>
  <c r="I41" i="11"/>
  <c r="J41" i="11"/>
  <c r="K41" i="11"/>
  <c r="L41" i="11"/>
  <c r="M41" i="11"/>
  <c r="N41" i="11"/>
  <c r="O41" i="11"/>
  <c r="P41" i="11"/>
  <c r="D7" i="31"/>
  <c r="H42" i="29"/>
  <c r="L47" i="29" s="1"/>
  <c r="L46" i="29"/>
  <c r="H46" i="29"/>
  <c r="D46" i="29"/>
  <c r="O38" i="29"/>
  <c r="K38" i="29"/>
  <c r="L23" i="29"/>
  <c r="H23" i="29"/>
  <c r="D23" i="29"/>
  <c r="Z100" i="11" l="1"/>
  <c r="I65" i="1"/>
  <c r="J65" i="1" s="1"/>
  <c r="K65" i="1" s="1"/>
  <c r="L65" i="1" s="1"/>
  <c r="M65" i="1" s="1"/>
  <c r="I66" i="1"/>
  <c r="J66" i="1" s="1"/>
  <c r="K66" i="1" s="1"/>
  <c r="L66" i="1" s="1"/>
  <c r="M66" i="1" s="1"/>
  <c r="I69" i="1"/>
  <c r="I70" i="1"/>
  <c r="U42" i="11"/>
  <c r="V42" i="11" s="1"/>
  <c r="Y42" i="11" s="1"/>
  <c r="Z42" i="11" s="1"/>
  <c r="J67" i="1"/>
  <c r="K67" i="1" s="1"/>
  <c r="L67" i="1" s="1"/>
  <c r="M67" i="1" s="1"/>
  <c r="O50" i="29"/>
  <c r="L49" i="29"/>
  <c r="D47" i="29"/>
  <c r="H47" i="29"/>
  <c r="W42" i="11" l="1"/>
  <c r="I36" i="1" s="1"/>
  <c r="N67" i="1"/>
  <c r="N66" i="1"/>
  <c r="N65" i="1"/>
  <c r="K50" i="29"/>
  <c r="H49" i="29"/>
  <c r="H48" i="29"/>
  <c r="G50" i="29"/>
  <c r="D49" i="29"/>
  <c r="D48" i="29"/>
  <c r="L11" i="29" l="1"/>
  <c r="D34" i="29"/>
  <c r="D11" i="29"/>
  <c r="H11" i="29"/>
  <c r="R64" i="1"/>
  <c r="I64" i="1"/>
  <c r="I71" i="1" s="1"/>
  <c r="W97" i="11" s="1"/>
  <c r="W100" i="11" s="1"/>
  <c r="AI60" i="11"/>
  <c r="AH60" i="11"/>
  <c r="AJ59" i="11"/>
  <c r="AI74" i="11"/>
  <c r="AH74" i="11"/>
  <c r="AJ74" i="11" s="1"/>
  <c r="AJ73" i="11"/>
  <c r="AJ66" i="11"/>
  <c r="AI67" i="11"/>
  <c r="AH67" i="11"/>
  <c r="D9" i="27"/>
  <c r="D8" i="27"/>
  <c r="C10" i="27"/>
  <c r="M64" i="1"/>
  <c r="M71" i="1" s="1"/>
  <c r="K64" i="1"/>
  <c r="K71" i="1" s="1"/>
  <c r="J64" i="1"/>
  <c r="J71" i="1" s="1"/>
  <c r="L64" i="1"/>
  <c r="L71" i="1" s="1"/>
  <c r="I55" i="1"/>
  <c r="N63" i="1"/>
  <c r="I27" i="1"/>
  <c r="AJ67" i="11" l="1"/>
  <c r="N71" i="1"/>
  <c r="N64" i="1"/>
  <c r="AJ60" i="11"/>
  <c r="T27" i="24" l="1"/>
  <c r="D23" i="23"/>
  <c r="S23" i="24"/>
  <c r="S24" i="24"/>
  <c r="R33" i="19"/>
  <c r="C699" i="28"/>
  <c r="C15" i="28" s="1"/>
  <c r="C291" i="28"/>
  <c r="C13" i="28" s="1"/>
  <c r="C94" i="28"/>
  <c r="C11" i="28"/>
  <c r="J72" i="1" l="1"/>
  <c r="K72" i="1" s="1"/>
  <c r="L72" i="1" s="1"/>
  <c r="M72" i="1" s="1"/>
  <c r="H30" i="29"/>
  <c r="D35" i="29" s="1"/>
  <c r="C17" i="28"/>
  <c r="G38" i="29" l="1"/>
  <c r="D36" i="29"/>
  <c r="D37" i="29"/>
  <c r="J70" i="1"/>
  <c r="K70" i="1" s="1"/>
  <c r="L70" i="1" s="1"/>
  <c r="M70" i="1" s="1"/>
  <c r="H19" i="29"/>
  <c r="J69" i="1"/>
  <c r="K69" i="1" s="1"/>
  <c r="L69" i="1" s="1"/>
  <c r="M69" i="1" s="1"/>
  <c r="H7" i="29"/>
  <c r="N72" i="1"/>
  <c r="J42" i="1"/>
  <c r="K42" i="1" s="1"/>
  <c r="L42" i="1" s="1"/>
  <c r="M42" i="1" s="1"/>
  <c r="N42" i="1" s="1"/>
  <c r="J61" i="1"/>
  <c r="K61" i="1" s="1"/>
  <c r="L61" i="1" s="1"/>
  <c r="M61" i="1" s="1"/>
  <c r="T28" i="24"/>
  <c r="S27" i="24"/>
  <c r="S28" i="24" s="1"/>
  <c r="T26" i="24"/>
  <c r="S26" i="24"/>
  <c r="S22" i="24"/>
  <c r="J27" i="1"/>
  <c r="N51" i="1"/>
  <c r="M7" i="1"/>
  <c r="L7" i="1"/>
  <c r="K7" i="1"/>
  <c r="J7" i="1"/>
  <c r="N23" i="1"/>
  <c r="N22" i="1"/>
  <c r="N56" i="1"/>
  <c r="N54" i="1"/>
  <c r="N70" i="1" l="1"/>
  <c r="N69" i="1"/>
  <c r="L12" i="29"/>
  <c r="D12" i="29"/>
  <c r="H12" i="29"/>
  <c r="H24" i="29"/>
  <c r="L24" i="29"/>
  <c r="D24" i="29"/>
  <c r="N61" i="1"/>
  <c r="J59" i="1"/>
  <c r="K59" i="1" s="1"/>
  <c r="L59" i="1" s="1"/>
  <c r="M59" i="1" s="1"/>
  <c r="J40" i="1"/>
  <c r="K40" i="1" s="1"/>
  <c r="L40" i="1" s="1"/>
  <c r="M40" i="1" s="1"/>
  <c r="N40" i="1" s="1"/>
  <c r="J38" i="1"/>
  <c r="K38" i="1" s="1"/>
  <c r="L38" i="1" s="1"/>
  <c r="M38" i="1" s="1"/>
  <c r="N38" i="1" s="1"/>
  <c r="J55" i="1"/>
  <c r="J94" i="1"/>
  <c r="M94" i="1"/>
  <c r="L94" i="1"/>
  <c r="N21" i="1"/>
  <c r="N20" i="1"/>
  <c r="N74" i="7"/>
  <c r="N77" i="7" s="1"/>
  <c r="P64" i="7"/>
  <c r="D77" i="7"/>
  <c r="M74" i="7"/>
  <c r="M77" i="7" s="1"/>
  <c r="N27" i="1"/>
  <c r="S21" i="24"/>
  <c r="S14" i="24"/>
  <c r="G27" i="29" l="1"/>
  <c r="D26" i="29"/>
  <c r="D25" i="29"/>
  <c r="L26" i="29"/>
  <c r="O27" i="29"/>
  <c r="K27" i="29"/>
  <c r="H26" i="29"/>
  <c r="H25" i="29"/>
  <c r="H13" i="29"/>
  <c r="K15" i="29"/>
  <c r="H14" i="29"/>
  <c r="G15" i="29"/>
  <c r="D13" i="29"/>
  <c r="D14" i="29"/>
  <c r="L14" i="29"/>
  <c r="O15" i="29"/>
  <c r="N59" i="1"/>
  <c r="I73" i="1"/>
  <c r="K55" i="1"/>
  <c r="I94" i="1"/>
  <c r="K94" i="1"/>
  <c r="S18" i="24"/>
  <c r="S19" i="24"/>
  <c r="S17" i="24"/>
  <c r="S16" i="24"/>
  <c r="S15" i="24"/>
  <c r="S13" i="24"/>
  <c r="S12" i="24"/>
  <c r="S11" i="24"/>
  <c r="S10" i="24"/>
  <c r="M32" i="23"/>
  <c r="M31" i="23"/>
  <c r="R57" i="11"/>
  <c r="R58" i="11" s="1"/>
  <c r="Q57" i="11"/>
  <c r="Q58" i="11" s="1"/>
  <c r="C89" i="11"/>
  <c r="C88" i="11"/>
  <c r="C86" i="11"/>
  <c r="C79" i="11"/>
  <c r="C78" i="11"/>
  <c r="C76" i="11"/>
  <c r="C69" i="11"/>
  <c r="C68" i="11"/>
  <c r="C70" i="11" s="1"/>
  <c r="C66" i="11"/>
  <c r="C57" i="11"/>
  <c r="I7" i="1"/>
  <c r="P66" i="11"/>
  <c r="P68" i="11"/>
  <c r="P69" i="11"/>
  <c r="P76" i="11"/>
  <c r="P78" i="11"/>
  <c r="P79" i="11"/>
  <c r="P86" i="11"/>
  <c r="P88" i="11"/>
  <c r="P89" i="11"/>
  <c r="R8" i="11"/>
  <c r="R10" i="11"/>
  <c r="R11" i="11"/>
  <c r="R18" i="11"/>
  <c r="R20" i="11"/>
  <c r="R21" i="11"/>
  <c r="R28" i="11"/>
  <c r="R30" i="11"/>
  <c r="R31" i="11"/>
  <c r="H7" i="16"/>
  <c r="L27" i="13"/>
  <c r="C27" i="13"/>
  <c r="G20" i="13"/>
  <c r="E20" i="13"/>
  <c r="E21" i="13" s="1"/>
  <c r="C20" i="13"/>
  <c r="G19" i="13"/>
  <c r="E19" i="13"/>
  <c r="F19" i="13" s="1"/>
  <c r="C19" i="13"/>
  <c r="G14" i="13"/>
  <c r="H9" i="13"/>
  <c r="P70" i="11" l="1"/>
  <c r="J73" i="1"/>
  <c r="M33" i="23"/>
  <c r="L55" i="1"/>
  <c r="N94" i="1"/>
  <c r="C58" i="11"/>
  <c r="P80" i="11"/>
  <c r="R22" i="11"/>
  <c r="J14" i="1"/>
  <c r="K14" i="1" s="1"/>
  <c r="L14" i="1" s="1"/>
  <c r="M14" i="1" s="1"/>
  <c r="C80" i="11"/>
  <c r="R12" i="11"/>
  <c r="P90" i="11"/>
  <c r="R32" i="11"/>
  <c r="C90" i="11"/>
  <c r="F20" i="13"/>
  <c r="C21" i="13"/>
  <c r="D19" i="13" s="1"/>
  <c r="H19" i="13" s="1"/>
  <c r="K73" i="1" l="1"/>
  <c r="M55" i="1"/>
  <c r="N58" i="1" s="1"/>
  <c r="K25" i="13"/>
  <c r="D25" i="13"/>
  <c r="H25" i="13"/>
  <c r="D20" i="13"/>
  <c r="H20" i="13" s="1"/>
  <c r="L73" i="1" l="1"/>
  <c r="N55" i="1"/>
  <c r="K27" i="13"/>
  <c r="K26" i="13"/>
  <c r="H26" i="13"/>
  <c r="D26" i="13"/>
  <c r="I25" i="13"/>
  <c r="H27" i="13"/>
  <c r="J25" i="13"/>
  <c r="D27" i="13"/>
  <c r="D28" i="13" s="1"/>
  <c r="M73" i="1" l="1"/>
  <c r="J27" i="13"/>
  <c r="J26" i="13"/>
  <c r="I26" i="13"/>
  <c r="I27" i="13" s="1"/>
  <c r="N73" i="1" l="1"/>
  <c r="M30" i="23"/>
  <c r="D30" i="23"/>
  <c r="F23" i="23"/>
  <c r="F22" i="23"/>
  <c r="H17" i="23"/>
  <c r="J34" i="1"/>
  <c r="K34" i="1" s="1"/>
  <c r="L34" i="1" s="1"/>
  <c r="M34" i="1" s="1"/>
  <c r="C8" i="11"/>
  <c r="D8" i="11"/>
  <c r="E8" i="11"/>
  <c r="F8" i="11"/>
  <c r="G8" i="11"/>
  <c r="H8" i="11"/>
  <c r="I8" i="11"/>
  <c r="J8" i="11"/>
  <c r="K8" i="11"/>
  <c r="L8" i="11"/>
  <c r="M8" i="11"/>
  <c r="N8" i="11"/>
  <c r="O8" i="11"/>
  <c r="P8" i="11"/>
  <c r="Q8" i="11"/>
  <c r="C10" i="11"/>
  <c r="D10" i="11"/>
  <c r="E10" i="11"/>
  <c r="F10" i="11"/>
  <c r="G10" i="11"/>
  <c r="H10" i="11"/>
  <c r="I10" i="11"/>
  <c r="J10" i="11"/>
  <c r="K10" i="11"/>
  <c r="L10" i="11"/>
  <c r="M10" i="11"/>
  <c r="N10" i="11"/>
  <c r="O10" i="11"/>
  <c r="P10" i="11"/>
  <c r="Q10" i="11"/>
  <c r="C11" i="11"/>
  <c r="D11" i="11"/>
  <c r="E11" i="11"/>
  <c r="F11" i="11"/>
  <c r="G11" i="11"/>
  <c r="H11" i="11"/>
  <c r="I11" i="11"/>
  <c r="J11" i="11"/>
  <c r="K11" i="11"/>
  <c r="L11" i="11"/>
  <c r="M11" i="11"/>
  <c r="N11" i="11"/>
  <c r="O11" i="11"/>
  <c r="P11" i="11"/>
  <c r="Q11" i="11"/>
  <c r="C18" i="11"/>
  <c r="D18" i="11"/>
  <c r="E18" i="11"/>
  <c r="F18" i="11"/>
  <c r="G18" i="11"/>
  <c r="H18" i="11"/>
  <c r="I18" i="11"/>
  <c r="J18" i="11"/>
  <c r="K18" i="11"/>
  <c r="L18" i="11"/>
  <c r="M18" i="11"/>
  <c r="N18" i="11"/>
  <c r="O18" i="11"/>
  <c r="P18" i="11"/>
  <c r="Q18" i="11"/>
  <c r="C20" i="11"/>
  <c r="D20" i="11"/>
  <c r="E20" i="11"/>
  <c r="F20" i="11"/>
  <c r="G20" i="11"/>
  <c r="H20" i="11"/>
  <c r="I20" i="11"/>
  <c r="J20" i="11"/>
  <c r="K20" i="11"/>
  <c r="L20" i="11"/>
  <c r="M20" i="11"/>
  <c r="N20" i="11"/>
  <c r="O20" i="11"/>
  <c r="P20" i="11"/>
  <c r="Q20" i="11"/>
  <c r="C21" i="11"/>
  <c r="D21" i="11"/>
  <c r="E21" i="11"/>
  <c r="F21" i="11"/>
  <c r="G21" i="11"/>
  <c r="H21" i="11"/>
  <c r="I21" i="11"/>
  <c r="J21" i="11"/>
  <c r="K21" i="11"/>
  <c r="L21" i="11"/>
  <c r="M21" i="11"/>
  <c r="N21" i="11"/>
  <c r="O21" i="11"/>
  <c r="P21" i="11"/>
  <c r="Q21" i="11"/>
  <c r="AC23" i="11"/>
  <c r="AD23" i="11"/>
  <c r="AE23" i="11"/>
  <c r="AF23" i="11"/>
  <c r="AG23" i="11"/>
  <c r="AH23" i="11"/>
  <c r="AI23" i="11"/>
  <c r="AJ23" i="11"/>
  <c r="C28" i="11"/>
  <c r="D28" i="11"/>
  <c r="E28" i="11"/>
  <c r="F28" i="11"/>
  <c r="G28" i="11"/>
  <c r="H28" i="11"/>
  <c r="I28" i="11"/>
  <c r="J28" i="11"/>
  <c r="K28" i="11"/>
  <c r="L28" i="11"/>
  <c r="M28" i="11"/>
  <c r="N28" i="11"/>
  <c r="O28" i="11"/>
  <c r="P28" i="11"/>
  <c r="Q28" i="11"/>
  <c r="C30" i="11"/>
  <c r="D30" i="11"/>
  <c r="E30" i="11"/>
  <c r="F30" i="11"/>
  <c r="G30" i="11"/>
  <c r="H30" i="11"/>
  <c r="I30" i="11"/>
  <c r="J30" i="11"/>
  <c r="K30" i="11"/>
  <c r="L30" i="11"/>
  <c r="M30" i="11"/>
  <c r="N30" i="11"/>
  <c r="O30" i="11"/>
  <c r="P30" i="11"/>
  <c r="Q30" i="11"/>
  <c r="C31" i="11"/>
  <c r="D31" i="11"/>
  <c r="E31" i="11"/>
  <c r="F31" i="11"/>
  <c r="G31" i="11"/>
  <c r="H31" i="11"/>
  <c r="I31" i="11"/>
  <c r="J31" i="11"/>
  <c r="K31" i="11"/>
  <c r="L31" i="11"/>
  <c r="M31" i="11"/>
  <c r="N31" i="11"/>
  <c r="O31" i="11"/>
  <c r="P31" i="11"/>
  <c r="Q31" i="11"/>
  <c r="D54" i="11"/>
  <c r="E54" i="11"/>
  <c r="F54" i="11"/>
  <c r="G54" i="11"/>
  <c r="H54" i="11"/>
  <c r="I54" i="11"/>
  <c r="J54" i="11"/>
  <c r="K54" i="11"/>
  <c r="L54" i="11"/>
  <c r="M54" i="11"/>
  <c r="N54" i="11"/>
  <c r="O54" i="11"/>
  <c r="P54" i="11"/>
  <c r="D56" i="11"/>
  <c r="E56" i="11"/>
  <c r="F56" i="11"/>
  <c r="G56" i="11"/>
  <c r="H56" i="11"/>
  <c r="I56" i="11"/>
  <c r="J56" i="11"/>
  <c r="K56" i="11"/>
  <c r="L56" i="11"/>
  <c r="M56" i="11"/>
  <c r="N56" i="11"/>
  <c r="O56" i="11"/>
  <c r="P56" i="11"/>
  <c r="D57" i="11"/>
  <c r="E57" i="11"/>
  <c r="F57" i="11"/>
  <c r="G57" i="11"/>
  <c r="H57" i="11"/>
  <c r="I57" i="11"/>
  <c r="J57" i="11"/>
  <c r="K57" i="11"/>
  <c r="L57" i="11"/>
  <c r="M57" i="11"/>
  <c r="N57" i="11"/>
  <c r="O57" i="11"/>
  <c r="P57" i="11"/>
  <c r="D66" i="11"/>
  <c r="E66" i="11"/>
  <c r="F66" i="11"/>
  <c r="G66" i="11"/>
  <c r="H66" i="11"/>
  <c r="I66" i="11"/>
  <c r="J66" i="11"/>
  <c r="K66" i="11"/>
  <c r="L66" i="11"/>
  <c r="M66" i="11"/>
  <c r="N66" i="11"/>
  <c r="O66" i="11"/>
  <c r="D68" i="11"/>
  <c r="E68" i="11"/>
  <c r="F68" i="11"/>
  <c r="G68" i="11"/>
  <c r="H68" i="11"/>
  <c r="I68" i="11"/>
  <c r="J68" i="11"/>
  <c r="K68" i="11"/>
  <c r="L68" i="11"/>
  <c r="M68" i="11"/>
  <c r="N68" i="11"/>
  <c r="O68" i="11"/>
  <c r="D69" i="11"/>
  <c r="E69" i="11"/>
  <c r="F69" i="11"/>
  <c r="G69" i="11"/>
  <c r="H69" i="11"/>
  <c r="I69" i="11"/>
  <c r="J69" i="11"/>
  <c r="K69" i="11"/>
  <c r="L69" i="11"/>
  <c r="M69" i="11"/>
  <c r="N69" i="11"/>
  <c r="O69" i="11"/>
  <c r="D76" i="11"/>
  <c r="E76" i="11"/>
  <c r="F76" i="11"/>
  <c r="G76" i="11"/>
  <c r="H76" i="11"/>
  <c r="I76" i="11"/>
  <c r="J76" i="11"/>
  <c r="K76" i="11"/>
  <c r="L76" i="11"/>
  <c r="M76" i="11"/>
  <c r="N76" i="11"/>
  <c r="O76" i="11"/>
  <c r="D78" i="11"/>
  <c r="E78" i="11"/>
  <c r="F78" i="11"/>
  <c r="G78" i="11"/>
  <c r="H78" i="11"/>
  <c r="I78" i="11"/>
  <c r="J78" i="11"/>
  <c r="K78" i="11"/>
  <c r="L78" i="11"/>
  <c r="M78" i="11"/>
  <c r="N78" i="11"/>
  <c r="O78" i="11"/>
  <c r="D79" i="11"/>
  <c r="E79" i="11"/>
  <c r="F79" i="11"/>
  <c r="G79" i="11"/>
  <c r="H79" i="11"/>
  <c r="I79" i="11"/>
  <c r="J79" i="11"/>
  <c r="K79" i="11"/>
  <c r="L79" i="11"/>
  <c r="M79" i="11"/>
  <c r="N79" i="11"/>
  <c r="O79" i="11"/>
  <c r="D86" i="11"/>
  <c r="E86" i="11"/>
  <c r="F86" i="11"/>
  <c r="G86" i="11"/>
  <c r="H86" i="11"/>
  <c r="I86" i="11"/>
  <c r="J86" i="11"/>
  <c r="K86" i="11"/>
  <c r="L86" i="11"/>
  <c r="M86" i="11"/>
  <c r="N86" i="11"/>
  <c r="O86" i="11"/>
  <c r="D88" i="11"/>
  <c r="E88" i="11"/>
  <c r="F88" i="11"/>
  <c r="G88" i="11"/>
  <c r="H88" i="11"/>
  <c r="I88" i="11"/>
  <c r="J88" i="11"/>
  <c r="K88" i="11"/>
  <c r="L88" i="11"/>
  <c r="M88" i="11"/>
  <c r="N88" i="11"/>
  <c r="O88" i="11"/>
  <c r="D89" i="11"/>
  <c r="E89" i="11"/>
  <c r="F89" i="11"/>
  <c r="G89" i="11"/>
  <c r="H89" i="11"/>
  <c r="I89" i="11"/>
  <c r="J89" i="11"/>
  <c r="K89" i="11"/>
  <c r="L89" i="11"/>
  <c r="M89" i="11"/>
  <c r="N89" i="11"/>
  <c r="O89" i="11"/>
  <c r="F24" i="23" l="1"/>
  <c r="G23" i="23" s="1"/>
  <c r="K16" i="23"/>
  <c r="K15" i="23"/>
  <c r="J32" i="11"/>
  <c r="H90" i="11"/>
  <c r="L12" i="11"/>
  <c r="I32" i="11"/>
  <c r="K12" i="11"/>
  <c r="F22" i="11"/>
  <c r="H32" i="11"/>
  <c r="E80" i="11"/>
  <c r="G90" i="11"/>
  <c r="F90" i="11"/>
  <c r="L22" i="11"/>
  <c r="M12" i="11"/>
  <c r="G58" i="11"/>
  <c r="D80" i="11"/>
  <c r="L70" i="11"/>
  <c r="Q32" i="11"/>
  <c r="E32" i="11"/>
  <c r="F70" i="11"/>
  <c r="P32" i="11"/>
  <c r="D32" i="11"/>
  <c r="M80" i="11"/>
  <c r="H22" i="11"/>
  <c r="H80" i="11"/>
  <c r="E70" i="11"/>
  <c r="O32" i="11"/>
  <c r="C32" i="11"/>
  <c r="L80" i="11"/>
  <c r="G80" i="11"/>
  <c r="N32" i="11"/>
  <c r="F80" i="11"/>
  <c r="F58" i="11"/>
  <c r="L58" i="11"/>
  <c r="E90" i="11"/>
  <c r="M32" i="11"/>
  <c r="O90" i="11"/>
  <c r="N12" i="11"/>
  <c r="I58" i="11"/>
  <c r="I22" i="11"/>
  <c r="H58" i="11"/>
  <c r="N90" i="11"/>
  <c r="K70" i="11"/>
  <c r="L32" i="11"/>
  <c r="M90" i="11"/>
  <c r="J70" i="11"/>
  <c r="L90" i="11"/>
  <c r="I70" i="11"/>
  <c r="E58" i="11"/>
  <c r="J12" i="11"/>
  <c r="Q12" i="11"/>
  <c r="E12" i="11"/>
  <c r="O80" i="11"/>
  <c r="U77" i="11"/>
  <c r="J80" i="11"/>
  <c r="K58" i="11"/>
  <c r="P58" i="11"/>
  <c r="U54" i="11"/>
  <c r="P12" i="11"/>
  <c r="D12" i="11"/>
  <c r="N80" i="11"/>
  <c r="I80" i="11"/>
  <c r="G70" i="11"/>
  <c r="J58" i="11"/>
  <c r="O12" i="11"/>
  <c r="C12" i="11"/>
  <c r="U67" i="11"/>
  <c r="D58" i="11"/>
  <c r="O22" i="11"/>
  <c r="F32" i="11"/>
  <c r="N22" i="11"/>
  <c r="U55" i="11"/>
  <c r="K32" i="11"/>
  <c r="M22" i="11"/>
  <c r="D90" i="11"/>
  <c r="K90" i="11"/>
  <c r="U76" i="11"/>
  <c r="D70" i="11"/>
  <c r="J90" i="11"/>
  <c r="H70" i="11"/>
  <c r="O70" i="11"/>
  <c r="O58" i="11"/>
  <c r="K22" i="11"/>
  <c r="G22" i="11"/>
  <c r="I12" i="11"/>
  <c r="U87" i="11"/>
  <c r="I90" i="11"/>
  <c r="N70" i="11"/>
  <c r="N58" i="11"/>
  <c r="J22" i="11"/>
  <c r="H12" i="11"/>
  <c r="M70" i="11"/>
  <c r="M58" i="11"/>
  <c r="E22" i="11"/>
  <c r="G12" i="11"/>
  <c r="K80" i="11"/>
  <c r="G32" i="11"/>
  <c r="U31" i="11"/>
  <c r="F12" i="11"/>
  <c r="U11" i="11"/>
  <c r="Q22" i="11"/>
  <c r="U21" i="11"/>
  <c r="P22" i="11"/>
  <c r="D22" i="11"/>
  <c r="C22" i="11"/>
  <c r="U20" i="11"/>
  <c r="U30" i="11"/>
  <c r="U66" i="11"/>
  <c r="U86" i="11"/>
  <c r="U10" i="11"/>
  <c r="G22" i="23" l="1"/>
  <c r="U32" i="11"/>
  <c r="V32" i="11" s="1"/>
  <c r="Y32" i="11" s="1"/>
  <c r="Z32" i="11" s="1"/>
  <c r="U12" i="11"/>
  <c r="V12" i="11" s="1"/>
  <c r="Y12" i="11" s="1"/>
  <c r="Z12" i="11" s="1"/>
  <c r="U22" i="11"/>
  <c r="V22" i="11" s="1"/>
  <c r="Y22" i="11" s="1"/>
  <c r="Z22" i="11" s="1"/>
  <c r="U56" i="11"/>
  <c r="V56" i="11" s="1"/>
  <c r="Y56" i="11" s="1"/>
  <c r="Z56" i="11" s="1"/>
  <c r="I29" i="1" s="1"/>
  <c r="U78" i="11"/>
  <c r="V78" i="11" s="1"/>
  <c r="U68" i="11"/>
  <c r="V68" i="11" s="1"/>
  <c r="U88" i="11"/>
  <c r="V88" i="11" s="1"/>
  <c r="Y88" i="11" l="1"/>
  <c r="Z88" i="11" s="1"/>
  <c r="X88" i="11"/>
  <c r="Y68" i="11"/>
  <c r="Z68" i="11" s="1"/>
  <c r="X68" i="11"/>
  <c r="Y78" i="11"/>
  <c r="Z78" i="11" s="1"/>
  <c r="X78" i="11"/>
  <c r="Z33" i="11"/>
  <c r="V90" i="11"/>
  <c r="Y33" i="11"/>
  <c r="W88" i="11"/>
  <c r="W68" i="11"/>
  <c r="W78" i="11"/>
  <c r="W56" i="11"/>
  <c r="I44" i="1" s="1"/>
  <c r="W22" i="11"/>
  <c r="V33" i="11"/>
  <c r="W32" i="11"/>
  <c r="W12" i="11"/>
  <c r="Z90" i="11" l="1"/>
  <c r="W33" i="11"/>
  <c r="Y90" i="11"/>
  <c r="Y91" i="11" s="1"/>
  <c r="Y96" i="11" s="1"/>
  <c r="W90" i="11"/>
  <c r="I46" i="1" s="1"/>
  <c r="V91" i="11"/>
  <c r="V99" i="11" s="1"/>
  <c r="V101" i="11" s="1"/>
  <c r="J29" i="1"/>
  <c r="K29" i="1" s="1"/>
  <c r="L29" i="1" s="1"/>
  <c r="M29" i="1" s="1"/>
  <c r="J44" i="1"/>
  <c r="I30" i="1" l="1"/>
  <c r="J30" i="1" s="1"/>
  <c r="K30" i="1" s="1"/>
  <c r="L30" i="1" s="1"/>
  <c r="M30" i="1" s="1"/>
  <c r="Z91" i="11"/>
  <c r="W91" i="11"/>
  <c r="W96" i="11" s="1"/>
  <c r="W98" i="11" s="1"/>
  <c r="J46" i="1"/>
  <c r="Y99" i="11"/>
  <c r="Y101" i="11" s="1"/>
  <c r="I10" i="23" s="1"/>
  <c r="I35" i="1"/>
  <c r="J33" i="1"/>
  <c r="N29" i="1"/>
  <c r="N34" i="1"/>
  <c r="Z99" i="11" l="1"/>
  <c r="Z101" i="11" s="1"/>
  <c r="Z96" i="11"/>
  <c r="W99" i="11"/>
  <c r="W101" i="11" s="1"/>
  <c r="N30" i="1"/>
  <c r="K33" i="1"/>
  <c r="J35" i="1"/>
  <c r="S33" i="19"/>
  <c r="R32" i="19"/>
  <c r="S30" i="19"/>
  <c r="R30" i="19"/>
  <c r="S29" i="19"/>
  <c r="R29" i="19"/>
  <c r="S28" i="19"/>
  <c r="R28" i="19"/>
  <c r="G5" i="21"/>
  <c r="G6" i="21"/>
  <c r="G7" i="21"/>
  <c r="G8" i="21"/>
  <c r="G9" i="21"/>
  <c r="G10" i="21"/>
  <c r="D12" i="21"/>
  <c r="G12" i="21"/>
  <c r="D13" i="21"/>
  <c r="D24" i="21" s="1"/>
  <c r="G13" i="21"/>
  <c r="D14" i="21"/>
  <c r="G14" i="21"/>
  <c r="G24" i="21" s="1"/>
  <c r="G48" i="21" s="1"/>
  <c r="D15" i="21"/>
  <c r="G15" i="21"/>
  <c r="D16" i="21"/>
  <c r="G16" i="21" s="1"/>
  <c r="D17" i="21"/>
  <c r="G17" i="21"/>
  <c r="D18" i="21"/>
  <c r="G18" i="21"/>
  <c r="D19" i="21"/>
  <c r="G19" i="21"/>
  <c r="D20" i="21"/>
  <c r="G20" i="21"/>
  <c r="D21" i="21"/>
  <c r="G21" i="21"/>
  <c r="D22" i="21"/>
  <c r="G22" i="21" s="1"/>
  <c r="D23" i="21"/>
  <c r="G23" i="21"/>
  <c r="E24" i="21"/>
  <c r="E33" i="21" s="1"/>
  <c r="F24" i="21"/>
  <c r="F33" i="21" s="1"/>
  <c r="G26" i="21"/>
  <c r="G27" i="21"/>
  <c r="G28" i="21"/>
  <c r="G29" i="21"/>
  <c r="G30" i="21"/>
  <c r="G31" i="21"/>
  <c r="G32" i="21"/>
  <c r="J33" i="21"/>
  <c r="G47" i="21"/>
  <c r="H9" i="16"/>
  <c r="G14" i="16"/>
  <c r="C19" i="16"/>
  <c r="C21" i="16" s="1"/>
  <c r="D20" i="16" s="1"/>
  <c r="E19" i="16"/>
  <c r="E21" i="16" s="1"/>
  <c r="F19" i="16" s="1"/>
  <c r="G19" i="16"/>
  <c r="C20" i="16"/>
  <c r="E20" i="16"/>
  <c r="F20" i="16" s="1"/>
  <c r="G20" i="16"/>
  <c r="I26" i="16"/>
  <c r="J26" i="16"/>
  <c r="L26" i="16"/>
  <c r="L27" i="16" s="1"/>
  <c r="N7" i="1"/>
  <c r="N10" i="1"/>
  <c r="N11" i="1"/>
  <c r="N14" i="1"/>
  <c r="N16" i="1"/>
  <c r="N18" i="1"/>
  <c r="N26" i="1"/>
  <c r="H22" i="23" l="1"/>
  <c r="H23" i="23"/>
  <c r="I12" i="23"/>
  <c r="L33" i="1"/>
  <c r="K35" i="1"/>
  <c r="H20" i="16"/>
  <c r="K26" i="16" s="1"/>
  <c r="J36" i="1"/>
  <c r="K36" i="1" s="1"/>
  <c r="L36" i="1" s="1"/>
  <c r="M36" i="1" s="1"/>
  <c r="D33" i="21"/>
  <c r="G33" i="21" s="1"/>
  <c r="D19" i="16"/>
  <c r="H19" i="16" s="1"/>
  <c r="J11" i="23" l="1"/>
  <c r="J10" i="23"/>
  <c r="M33" i="1"/>
  <c r="L35" i="1"/>
  <c r="K25" i="16"/>
  <c r="K27" i="16" s="1"/>
  <c r="N36" i="1"/>
  <c r="K44" i="1" l="1"/>
  <c r="L44" i="1" s="1"/>
  <c r="M35" i="1"/>
  <c r="N35" i="1" s="1"/>
  <c r="N33" i="1"/>
  <c r="K46" i="1" l="1"/>
  <c r="L46" i="1" s="1"/>
  <c r="M46" i="1" s="1"/>
  <c r="M44" i="1"/>
  <c r="N44" i="1" s="1"/>
  <c r="AO23" i="11"/>
  <c r="AN23" i="11"/>
  <c r="AM23" i="11"/>
  <c r="AL23" i="11"/>
  <c r="AK23" i="11"/>
  <c r="N46" i="1" l="1"/>
  <c r="F29" i="10" l="1"/>
  <c r="H29" i="10" s="1"/>
  <c r="F28" i="10"/>
  <c r="H28" i="10" s="1"/>
  <c r="F27" i="10"/>
  <c r="H27" i="10" s="1"/>
  <c r="F26" i="10"/>
  <c r="H26" i="10" s="1"/>
  <c r="N17" i="1" l="1"/>
  <c r="N25" i="1"/>
  <c r="J37" i="1" l="1"/>
  <c r="J39" i="1" s="1"/>
  <c r="J41" i="1" s="1"/>
  <c r="J43" i="1" s="1"/>
  <c r="J45" i="1" s="1"/>
  <c r="K37" i="1"/>
  <c r="K39" i="1" s="1"/>
  <c r="K41" i="1" s="1"/>
  <c r="K43" i="1" s="1"/>
  <c r="K45" i="1" s="1"/>
  <c r="U52" i="8"/>
  <c r="U48" i="8"/>
  <c r="U54" i="8"/>
  <c r="U53" i="8"/>
  <c r="U51" i="8"/>
  <c r="U50" i="8"/>
  <c r="U49" i="8"/>
  <c r="U47" i="8"/>
  <c r="T55" i="8"/>
  <c r="T49" i="8"/>
  <c r="Z36" i="8"/>
  <c r="Z37" i="8"/>
  <c r="Z38" i="8"/>
  <c r="Z39" i="8"/>
  <c r="Z40" i="8"/>
  <c r="Z41" i="8"/>
  <c r="Z42" i="8"/>
  <c r="Z43" i="8"/>
  <c r="Z35" i="8"/>
  <c r="Z44" i="8"/>
  <c r="X44" i="8"/>
  <c r="V44" i="8"/>
  <c r="U14" i="8"/>
  <c r="T14" i="8"/>
  <c r="V13" i="8"/>
  <c r="V12" i="8"/>
  <c r="V11" i="8"/>
  <c r="V10" i="8"/>
  <c r="V9" i="8"/>
  <c r="B157" i="8"/>
  <c r="F153" i="8"/>
  <c r="J151" i="8"/>
  <c r="R150" i="8"/>
  <c r="D150" i="8"/>
  <c r="F150" i="8" s="1"/>
  <c r="F148" i="8"/>
  <c r="B136" i="8"/>
  <c r="F132" i="8"/>
  <c r="J131" i="8"/>
  <c r="F129" i="8"/>
  <c r="F127" i="8"/>
  <c r="B114" i="8"/>
  <c r="F110" i="8"/>
  <c r="J109" i="8"/>
  <c r="R107" i="8"/>
  <c r="D107" i="8"/>
  <c r="F107" i="8" s="1"/>
  <c r="R106" i="8"/>
  <c r="R105" i="8"/>
  <c r="D105" i="8"/>
  <c r="F105" i="8" s="1"/>
  <c r="B93" i="8"/>
  <c r="F89" i="8"/>
  <c r="J88" i="8"/>
  <c r="F86" i="8"/>
  <c r="F84" i="8"/>
  <c r="B72" i="8"/>
  <c r="F68" i="8"/>
  <c r="J67" i="8"/>
  <c r="F65" i="8"/>
  <c r="F63" i="8"/>
  <c r="L56" i="8"/>
  <c r="L52" i="8"/>
  <c r="L49" i="8"/>
  <c r="L46" i="8"/>
  <c r="T54" i="8" s="1"/>
  <c r="L45" i="8"/>
  <c r="L40" i="8"/>
  <c r="P38" i="8"/>
  <c r="P37" i="8"/>
  <c r="N37" i="8"/>
  <c r="M37" i="8"/>
  <c r="L37" i="8"/>
  <c r="T48" i="8" s="1"/>
  <c r="P35" i="8"/>
  <c r="P47" i="8" s="1"/>
  <c r="N35" i="8"/>
  <c r="N47" i="8" s="1"/>
  <c r="M35" i="8"/>
  <c r="M47" i="8" s="1"/>
  <c r="L35" i="8"/>
  <c r="T47" i="8" s="1"/>
  <c r="P33" i="8"/>
  <c r="L32" i="8"/>
  <c r="N30" i="8"/>
  <c r="M30" i="8"/>
  <c r="K30" i="8"/>
  <c r="J30" i="8"/>
  <c r="I30" i="8"/>
  <c r="F30" i="8"/>
  <c r="F28" i="8"/>
  <c r="R27" i="8"/>
  <c r="L27" i="8"/>
  <c r="G14" i="8"/>
  <c r="F14" i="8"/>
  <c r="D14" i="8"/>
  <c r="D23" i="8" s="1"/>
  <c r="F23" i="8" s="1"/>
  <c r="C14" i="8"/>
  <c r="D25" i="8" s="1"/>
  <c r="F25" i="8" s="1"/>
  <c r="H13" i="8"/>
  <c r="I13" i="8" s="1"/>
  <c r="L90" i="8" s="1"/>
  <c r="H12" i="8"/>
  <c r="I12" i="8" s="1"/>
  <c r="L69" i="8" s="1"/>
  <c r="H11" i="8"/>
  <c r="I11" i="8" s="1"/>
  <c r="L111" i="8" s="1"/>
  <c r="H10" i="8"/>
  <c r="I10" i="8" s="1"/>
  <c r="L133" i="8" s="1"/>
  <c r="H9" i="8"/>
  <c r="H74" i="7"/>
  <c r="H77" i="7" s="1"/>
  <c r="F74" i="7"/>
  <c r="F77" i="7" s="1"/>
  <c r="J74" i="7"/>
  <c r="J77" i="7" s="1"/>
  <c r="K47" i="1" l="1"/>
  <c r="K78" i="1" s="1"/>
  <c r="H63" i="7"/>
  <c r="H62" i="7"/>
  <c r="H61" i="7"/>
  <c r="H60" i="7"/>
  <c r="H59" i="7"/>
  <c r="H58" i="7"/>
  <c r="H57" i="7"/>
  <c r="H56" i="7"/>
  <c r="H44" i="7"/>
  <c r="H32" i="7"/>
  <c r="H20" i="7"/>
  <c r="H43" i="7"/>
  <c r="H31" i="7"/>
  <c r="H19" i="7"/>
  <c r="H40" i="7"/>
  <c r="H28" i="7"/>
  <c r="H16" i="7"/>
  <c r="H51" i="7"/>
  <c r="H39" i="7"/>
  <c r="H27" i="7"/>
  <c r="H15" i="7"/>
  <c r="H55" i="7"/>
  <c r="H54" i="7"/>
  <c r="H42" i="7"/>
  <c r="H30" i="7"/>
  <c r="H18" i="7"/>
  <c r="H41" i="7"/>
  <c r="H29" i="7"/>
  <c r="H17" i="7"/>
  <c r="H53" i="7"/>
  <c r="H52" i="7"/>
  <c r="H46" i="7"/>
  <c r="H22" i="7"/>
  <c r="H38" i="7"/>
  <c r="H26" i="7"/>
  <c r="H25" i="7"/>
  <c r="H24" i="7"/>
  <c r="H23" i="7"/>
  <c r="H45" i="7"/>
  <c r="H21" i="7"/>
  <c r="H9" i="7"/>
  <c r="H37" i="7"/>
  <c r="H36" i="7"/>
  <c r="H35" i="7"/>
  <c r="H34" i="7"/>
  <c r="H33" i="7"/>
  <c r="H50" i="7"/>
  <c r="H49" i="7"/>
  <c r="H48" i="7"/>
  <c r="H47" i="7"/>
  <c r="J47" i="1"/>
  <c r="J78" i="1" s="1"/>
  <c r="F55" i="7"/>
  <c r="F43" i="7"/>
  <c r="F31" i="7"/>
  <c r="F19" i="7"/>
  <c r="F9" i="7"/>
  <c r="F54" i="7"/>
  <c r="F42" i="7"/>
  <c r="F30" i="7"/>
  <c r="F18" i="7"/>
  <c r="F16" i="7"/>
  <c r="F63" i="7"/>
  <c r="F51" i="7"/>
  <c r="F39" i="7"/>
  <c r="F27" i="7"/>
  <c r="F15" i="7"/>
  <c r="F53" i="7"/>
  <c r="F41" i="7"/>
  <c r="F29" i="7"/>
  <c r="F17" i="7"/>
  <c r="F52" i="7"/>
  <c r="F40" i="7"/>
  <c r="F28" i="7"/>
  <c r="F60" i="7"/>
  <c r="F38" i="7"/>
  <c r="F21" i="7"/>
  <c r="F59" i="7"/>
  <c r="F20" i="7"/>
  <c r="F36" i="7"/>
  <c r="F35" i="7"/>
  <c r="F34" i="7"/>
  <c r="F33" i="7"/>
  <c r="F32" i="7"/>
  <c r="F26" i="7"/>
  <c r="F47" i="7"/>
  <c r="F24" i="7"/>
  <c r="F45" i="7"/>
  <c r="F44" i="7"/>
  <c r="F37" i="7"/>
  <c r="F58" i="7"/>
  <c r="H14" i="7"/>
  <c r="F57" i="7"/>
  <c r="H13" i="7"/>
  <c r="F56" i="7"/>
  <c r="H12" i="7"/>
  <c r="F50" i="7"/>
  <c r="H11" i="7"/>
  <c r="F49" i="7"/>
  <c r="H10" i="7"/>
  <c r="F48" i="7"/>
  <c r="F25" i="7"/>
  <c r="F46" i="7"/>
  <c r="F62" i="7"/>
  <c r="F23" i="7"/>
  <c r="F61" i="7"/>
  <c r="F22" i="7"/>
  <c r="I37" i="1"/>
  <c r="M37" i="1"/>
  <c r="M39" i="1" s="1"/>
  <c r="M41" i="1" s="1"/>
  <c r="M43" i="1" s="1"/>
  <c r="L37" i="1"/>
  <c r="L39" i="1" s="1"/>
  <c r="L41" i="1" s="1"/>
  <c r="L43" i="1" s="1"/>
  <c r="L45" i="1" s="1"/>
  <c r="X13" i="8"/>
  <c r="X12" i="8"/>
  <c r="X11" i="8"/>
  <c r="X10" i="8"/>
  <c r="X9" i="8"/>
  <c r="X14" i="8" s="1"/>
  <c r="T44" i="8"/>
  <c r="U44" i="8"/>
  <c r="W10" i="8"/>
  <c r="W11" i="8"/>
  <c r="W12" i="8"/>
  <c r="W13" i="8"/>
  <c r="V14" i="8"/>
  <c r="W9" i="8"/>
  <c r="W14" i="8" s="1"/>
  <c r="H14" i="8"/>
  <c r="I9" i="8"/>
  <c r="N133" i="8"/>
  <c r="M133" i="8"/>
  <c r="N111" i="8"/>
  <c r="M111" i="8"/>
  <c r="N69" i="8"/>
  <c r="M69" i="8"/>
  <c r="N90" i="8"/>
  <c r="M90" i="8"/>
  <c r="L25" i="8"/>
  <c r="K25" i="8"/>
  <c r="J25" i="8"/>
  <c r="I25" i="8"/>
  <c r="H25" i="8"/>
  <c r="N25" i="8" s="1"/>
  <c r="G25" i="8"/>
  <c r="M25" i="8" s="1"/>
  <c r="F29" i="8"/>
  <c r="F33" i="8" s="1"/>
  <c r="L23" i="8"/>
  <c r="K23" i="8"/>
  <c r="J23" i="8"/>
  <c r="I23" i="8"/>
  <c r="H23" i="8"/>
  <c r="G23" i="8"/>
  <c r="L28" i="8"/>
  <c r="I28" i="8"/>
  <c r="H28" i="8"/>
  <c r="G28" i="8"/>
  <c r="L30" i="8"/>
  <c r="H30" i="8"/>
  <c r="G30" i="8"/>
  <c r="I133" i="8"/>
  <c r="I111" i="8"/>
  <c r="I90" i="8"/>
  <c r="I69" i="8"/>
  <c r="J111" i="8"/>
  <c r="J90" i="8"/>
  <c r="J69" i="8"/>
  <c r="K133" i="8"/>
  <c r="K111" i="8"/>
  <c r="K90" i="8"/>
  <c r="K69" i="8"/>
  <c r="L50" i="8"/>
  <c r="L53" i="8"/>
  <c r="P56" i="8"/>
  <c r="F70" i="8"/>
  <c r="J12" i="8" s="1"/>
  <c r="L63" i="8"/>
  <c r="K63" i="8"/>
  <c r="J63" i="8"/>
  <c r="I63" i="8"/>
  <c r="H63" i="8"/>
  <c r="G63" i="8"/>
  <c r="L65" i="8"/>
  <c r="K65" i="8"/>
  <c r="J65" i="8"/>
  <c r="I65" i="8"/>
  <c r="H65" i="8"/>
  <c r="N65" i="8" s="1"/>
  <c r="G65" i="8"/>
  <c r="M65" i="8" s="1"/>
  <c r="L68" i="8"/>
  <c r="I68" i="8"/>
  <c r="H68" i="8"/>
  <c r="G68" i="8"/>
  <c r="F91" i="8"/>
  <c r="J13" i="8" s="1"/>
  <c r="L84" i="8"/>
  <c r="K84" i="8"/>
  <c r="J84" i="8"/>
  <c r="I84" i="8"/>
  <c r="H84" i="8"/>
  <c r="G84" i="8"/>
  <c r="L86" i="8"/>
  <c r="K86" i="8"/>
  <c r="J86" i="8"/>
  <c r="I86" i="8"/>
  <c r="H86" i="8"/>
  <c r="N86" i="8" s="1"/>
  <c r="G86" i="8"/>
  <c r="M86" i="8" s="1"/>
  <c r="L89" i="8"/>
  <c r="I89" i="8"/>
  <c r="H89" i="8"/>
  <c r="G89" i="8"/>
  <c r="F112" i="8"/>
  <c r="J11" i="8" s="1"/>
  <c r="L105" i="8"/>
  <c r="K105" i="8"/>
  <c r="J105" i="8"/>
  <c r="I105" i="8"/>
  <c r="H105" i="8"/>
  <c r="G105" i="8"/>
  <c r="R108" i="8"/>
  <c r="S105" i="8"/>
  <c r="S106" i="8"/>
  <c r="L107" i="8"/>
  <c r="K107" i="8"/>
  <c r="J107" i="8"/>
  <c r="I107" i="8"/>
  <c r="H107" i="8"/>
  <c r="N107" i="8" s="1"/>
  <c r="G107" i="8"/>
  <c r="M107" i="8" s="1"/>
  <c r="S107" i="8"/>
  <c r="L110" i="8"/>
  <c r="I110" i="8"/>
  <c r="H110" i="8"/>
  <c r="G110" i="8"/>
  <c r="F134" i="8"/>
  <c r="J10" i="8" s="1"/>
  <c r="L127" i="8"/>
  <c r="K127" i="8"/>
  <c r="J127" i="8"/>
  <c r="I127" i="8"/>
  <c r="H127" i="8"/>
  <c r="G127" i="8"/>
  <c r="L129" i="8"/>
  <c r="K129" i="8"/>
  <c r="J129" i="8"/>
  <c r="I129" i="8"/>
  <c r="H129" i="8"/>
  <c r="N129" i="8" s="1"/>
  <c r="G129" i="8"/>
  <c r="M129" i="8" s="1"/>
  <c r="L132" i="8"/>
  <c r="I132" i="8"/>
  <c r="H132" i="8"/>
  <c r="G132" i="8"/>
  <c r="F155" i="8"/>
  <c r="J9" i="8" s="1"/>
  <c r="L148" i="8"/>
  <c r="K148" i="8"/>
  <c r="J148" i="8"/>
  <c r="I148" i="8"/>
  <c r="H148" i="8"/>
  <c r="G148" i="8"/>
  <c r="L150" i="8"/>
  <c r="K150" i="8"/>
  <c r="J150" i="8"/>
  <c r="I150" i="8"/>
  <c r="H150" i="8"/>
  <c r="N150" i="8" s="1"/>
  <c r="G150" i="8"/>
  <c r="M150" i="8" s="1"/>
  <c r="R153" i="8"/>
  <c r="S152" i="8" s="1"/>
  <c r="S150" i="8"/>
  <c r="S153" i="8" s="1"/>
  <c r="L153" i="8"/>
  <c r="I153" i="8"/>
  <c r="H153" i="8"/>
  <c r="G153" i="8"/>
  <c r="I39" i="1" l="1"/>
  <c r="I41" i="1" s="1"/>
  <c r="I43" i="1" s="1"/>
  <c r="I45" i="1" s="1"/>
  <c r="I47" i="1" s="1"/>
  <c r="I78" i="1" s="1"/>
  <c r="F64" i="7"/>
  <c r="H64" i="7"/>
  <c r="D55" i="7"/>
  <c r="D43" i="7"/>
  <c r="D31" i="7"/>
  <c r="D19" i="7"/>
  <c r="D54" i="7"/>
  <c r="D42" i="7"/>
  <c r="D30" i="7"/>
  <c r="D18" i="7"/>
  <c r="D9" i="7"/>
  <c r="D16" i="7"/>
  <c r="D63" i="7"/>
  <c r="D51" i="7"/>
  <c r="D39" i="7"/>
  <c r="D27" i="7"/>
  <c r="D62" i="7"/>
  <c r="D50" i="7"/>
  <c r="D38" i="7"/>
  <c r="D26" i="7"/>
  <c r="D53" i="7"/>
  <c r="D41" i="7"/>
  <c r="D29" i="7"/>
  <c r="D17" i="7"/>
  <c r="D15" i="7"/>
  <c r="D52" i="7"/>
  <c r="D40" i="7"/>
  <c r="D28" i="7"/>
  <c r="D59" i="7"/>
  <c r="D35" i="7"/>
  <c r="D34" i="7"/>
  <c r="D33" i="7"/>
  <c r="D56" i="7"/>
  <c r="D25" i="7"/>
  <c r="D24" i="7"/>
  <c r="D23" i="7"/>
  <c r="D22" i="7"/>
  <c r="D21" i="7"/>
  <c r="D20" i="7"/>
  <c r="D37" i="7"/>
  <c r="D36" i="7"/>
  <c r="D58" i="7"/>
  <c r="D57" i="7"/>
  <c r="D32" i="7"/>
  <c r="D49" i="7"/>
  <c r="D48" i="7"/>
  <c r="D47" i="7"/>
  <c r="D46" i="7"/>
  <c r="D45" i="7"/>
  <c r="D44" i="7"/>
  <c r="D61" i="7"/>
  <c r="D60" i="7"/>
  <c r="L47" i="1"/>
  <c r="L78" i="1" s="1"/>
  <c r="J61" i="7"/>
  <c r="J49" i="7"/>
  <c r="J37" i="7"/>
  <c r="J25" i="7"/>
  <c r="J60" i="7"/>
  <c r="J48" i="7"/>
  <c r="J36" i="7"/>
  <c r="J24" i="7"/>
  <c r="J34" i="7"/>
  <c r="J22" i="7"/>
  <c r="J57" i="7"/>
  <c r="J45" i="7"/>
  <c r="J33" i="7"/>
  <c r="J21" i="7"/>
  <c r="J59" i="7"/>
  <c r="J47" i="7"/>
  <c r="J35" i="7"/>
  <c r="J23" i="7"/>
  <c r="J58" i="7"/>
  <c r="J46" i="7"/>
  <c r="J53" i="7"/>
  <c r="J31" i="7"/>
  <c r="J9" i="7"/>
  <c r="J52" i="7"/>
  <c r="J51" i="7"/>
  <c r="J28" i="7"/>
  <c r="J44" i="7"/>
  <c r="J43" i="7"/>
  <c r="J42" i="7"/>
  <c r="J41" i="7"/>
  <c r="J62" i="7"/>
  <c r="J18" i="7"/>
  <c r="J39" i="7"/>
  <c r="J55" i="7"/>
  <c r="J16" i="7"/>
  <c r="J54" i="7"/>
  <c r="J15" i="7"/>
  <c r="J30" i="7"/>
  <c r="J29" i="7"/>
  <c r="J50" i="7"/>
  <c r="J27" i="7"/>
  <c r="J26" i="7"/>
  <c r="J20" i="7"/>
  <c r="J63" i="7"/>
  <c r="J19" i="7"/>
  <c r="J40" i="7"/>
  <c r="J56" i="7"/>
  <c r="J17" i="7"/>
  <c r="J38" i="7"/>
  <c r="J32" i="7"/>
  <c r="M45" i="1"/>
  <c r="M47" i="1" s="1"/>
  <c r="M78" i="1" s="1"/>
  <c r="M52" i="7"/>
  <c r="M40" i="7"/>
  <c r="M28" i="7"/>
  <c r="M16" i="7"/>
  <c r="M63" i="7"/>
  <c r="M51" i="7"/>
  <c r="M39" i="7"/>
  <c r="M27" i="7"/>
  <c r="M15" i="7"/>
  <c r="M60" i="7"/>
  <c r="M48" i="7"/>
  <c r="M36" i="7"/>
  <c r="M24" i="7"/>
  <c r="M59" i="7"/>
  <c r="M47" i="7"/>
  <c r="M35" i="7"/>
  <c r="M23" i="7"/>
  <c r="M62" i="7"/>
  <c r="M50" i="7"/>
  <c r="M38" i="7"/>
  <c r="M26" i="7"/>
  <c r="M9" i="7"/>
  <c r="M61" i="7"/>
  <c r="M49" i="7"/>
  <c r="M37" i="7"/>
  <c r="M25" i="7"/>
  <c r="M55" i="7"/>
  <c r="M31" i="7"/>
  <c r="M30" i="7"/>
  <c r="M53" i="7"/>
  <c r="M29" i="7"/>
  <c r="M45" i="7"/>
  <c r="M21" i="7"/>
  <c r="M20" i="7"/>
  <c r="M19" i="7"/>
  <c r="M18" i="7"/>
  <c r="M41" i="7"/>
  <c r="M17" i="7"/>
  <c r="M58" i="7"/>
  <c r="M57" i="7"/>
  <c r="M33" i="7"/>
  <c r="M32" i="7"/>
  <c r="M54" i="7"/>
  <c r="M46" i="7"/>
  <c r="M22" i="7"/>
  <c r="M44" i="7"/>
  <c r="M43" i="7"/>
  <c r="M42" i="7"/>
  <c r="M34" i="7"/>
  <c r="M56" i="7"/>
  <c r="N37" i="1"/>
  <c r="W44" i="8"/>
  <c r="M153" i="8"/>
  <c r="J153" i="8"/>
  <c r="N153" i="8"/>
  <c r="K153" i="8"/>
  <c r="G155" i="8"/>
  <c r="M148" i="8"/>
  <c r="H155" i="8"/>
  <c r="N148" i="8"/>
  <c r="I155" i="8"/>
  <c r="J155" i="8"/>
  <c r="L156" i="8" s="1"/>
  <c r="K155" i="8"/>
  <c r="J14" i="8"/>
  <c r="L9" i="8"/>
  <c r="K9" i="8"/>
  <c r="M132" i="8"/>
  <c r="J132" i="8"/>
  <c r="N132" i="8"/>
  <c r="K132" i="8"/>
  <c r="G134" i="8"/>
  <c r="M127" i="8"/>
  <c r="M134" i="8" s="1"/>
  <c r="H134" i="8"/>
  <c r="N127" i="8"/>
  <c r="N134" i="8" s="1"/>
  <c r="I134" i="8"/>
  <c r="J134" i="8"/>
  <c r="L135" i="8" s="1"/>
  <c r="K134" i="8"/>
  <c r="L134" i="8"/>
  <c r="L10" i="8"/>
  <c r="K10" i="8"/>
  <c r="M110" i="8"/>
  <c r="J110" i="8"/>
  <c r="N110" i="8"/>
  <c r="K110" i="8"/>
  <c r="G112" i="8"/>
  <c r="M105" i="8"/>
  <c r="M112" i="8" s="1"/>
  <c r="H112" i="8"/>
  <c r="N105" i="8"/>
  <c r="N112" i="8" s="1"/>
  <c r="I112" i="8"/>
  <c r="J112" i="8"/>
  <c r="L113" i="8" s="1"/>
  <c r="K112" i="8"/>
  <c r="L112" i="8"/>
  <c r="L11" i="8"/>
  <c r="K11" i="8"/>
  <c r="M89" i="8"/>
  <c r="J89" i="8"/>
  <c r="N89" i="8"/>
  <c r="K89" i="8"/>
  <c r="G91" i="8"/>
  <c r="M84" i="8"/>
  <c r="M91" i="8" s="1"/>
  <c r="H91" i="8"/>
  <c r="N84" i="8"/>
  <c r="N91" i="8" s="1"/>
  <c r="I91" i="8"/>
  <c r="J91" i="8"/>
  <c r="L92" i="8" s="1"/>
  <c r="K91" i="8"/>
  <c r="L91" i="8"/>
  <c r="L13" i="8"/>
  <c r="K13" i="8"/>
  <c r="M68" i="8"/>
  <c r="J68" i="8"/>
  <c r="N68" i="8"/>
  <c r="K68" i="8"/>
  <c r="R28" i="8"/>
  <c r="R25" i="8"/>
  <c r="G70" i="8"/>
  <c r="M63" i="8"/>
  <c r="M70" i="8" s="1"/>
  <c r="H70" i="8"/>
  <c r="N63" i="8"/>
  <c r="N70" i="8" s="1"/>
  <c r="I70" i="8"/>
  <c r="J70" i="8"/>
  <c r="L71" i="8" s="1"/>
  <c r="K70" i="8"/>
  <c r="L70" i="8"/>
  <c r="R23" i="8"/>
  <c r="L12" i="8"/>
  <c r="K12" i="8"/>
  <c r="M28" i="8"/>
  <c r="J28" i="8"/>
  <c r="N28" i="8"/>
  <c r="K28" i="8"/>
  <c r="G29" i="8"/>
  <c r="G33" i="8" s="1"/>
  <c r="M23" i="8"/>
  <c r="M29" i="8" s="1"/>
  <c r="M33" i="8" s="1"/>
  <c r="H29" i="8"/>
  <c r="H33" i="8" s="1"/>
  <c r="N23" i="8"/>
  <c r="N29" i="8" s="1"/>
  <c r="N33" i="8" s="1"/>
  <c r="I29" i="8"/>
  <c r="I33" i="8" s="1"/>
  <c r="J29" i="8"/>
  <c r="K29" i="8"/>
  <c r="K33" i="8" s="1"/>
  <c r="L29" i="8"/>
  <c r="L33" i="8" s="1"/>
  <c r="R56" i="8" s="1"/>
  <c r="L154" i="8"/>
  <c r="I14" i="8"/>
  <c r="N45" i="1" l="1"/>
  <c r="N47" i="1" s="1"/>
  <c r="N39" i="1"/>
  <c r="N41" i="1" s="1"/>
  <c r="N43" i="1" s="1"/>
  <c r="N18" i="7"/>
  <c r="N19" i="7"/>
  <c r="N47" i="7"/>
  <c r="N40" i="7"/>
  <c r="N62" i="7"/>
  <c r="N23" i="7"/>
  <c r="N29" i="7"/>
  <c r="N59" i="7"/>
  <c r="N42" i="7"/>
  <c r="N38" i="7"/>
  <c r="N22" i="7"/>
  <c r="N35" i="7"/>
  <c r="N20" i="7"/>
  <c r="N33" i="7"/>
  <c r="N61" i="7"/>
  <c r="N52" i="7"/>
  <c r="N41" i="7"/>
  <c r="N36" i="7"/>
  <c r="N60" i="7"/>
  <c r="N37" i="7"/>
  <c r="N28" i="7"/>
  <c r="N43" i="7"/>
  <c r="N54" i="7"/>
  <c r="N58" i="7"/>
  <c r="N44" i="7"/>
  <c r="N21" i="7"/>
  <c r="N53" i="7"/>
  <c r="N32" i="7"/>
  <c r="N34" i="7"/>
  <c r="N16" i="7"/>
  <c r="J64" i="7"/>
  <c r="N57" i="7"/>
  <c r="N51" i="7"/>
  <c r="N45" i="7"/>
  <c r="N63" i="7"/>
  <c r="N46" i="7"/>
  <c r="N24" i="7"/>
  <c r="D64" i="7"/>
  <c r="N26" i="7"/>
  <c r="N27" i="7"/>
  <c r="N55" i="7"/>
  <c r="N15" i="7"/>
  <c r="N50" i="7"/>
  <c r="N31" i="7"/>
  <c r="N39" i="7"/>
  <c r="N17" i="7"/>
  <c r="N48" i="7"/>
  <c r="N25" i="7"/>
  <c r="M64" i="7"/>
  <c r="N49" i="7"/>
  <c r="N56" i="7"/>
  <c r="N30" i="7"/>
  <c r="N9" i="7"/>
  <c r="D171" i="8"/>
  <c r="D170" i="8"/>
  <c r="N154" i="8"/>
  <c r="M154" i="8"/>
  <c r="L155" i="8"/>
  <c r="L39" i="8"/>
  <c r="T50" i="8" s="1"/>
  <c r="J33" i="8"/>
  <c r="O33" i="8"/>
  <c r="L75" i="8"/>
  <c r="L72" i="8"/>
  <c r="L73" i="8"/>
  <c r="P73" i="8" s="1"/>
  <c r="P74" i="8" s="1"/>
  <c r="L74" i="8"/>
  <c r="L76" i="8"/>
  <c r="L77" i="8" s="1"/>
  <c r="L43" i="8" s="1"/>
  <c r="P71" i="8"/>
  <c r="O70" i="8"/>
  <c r="L96" i="8"/>
  <c r="L93" i="8"/>
  <c r="L94" i="8"/>
  <c r="P94" i="8" s="1"/>
  <c r="P95" i="8" s="1"/>
  <c r="L95" i="8"/>
  <c r="L97" i="8"/>
  <c r="L98" i="8" s="1"/>
  <c r="L44" i="8" s="1"/>
  <c r="P92" i="8"/>
  <c r="O91" i="8"/>
  <c r="L118" i="8"/>
  <c r="L114" i="8"/>
  <c r="L115" i="8"/>
  <c r="P115" i="8" s="1"/>
  <c r="P116" i="8" s="1"/>
  <c r="L116" i="8"/>
  <c r="L119" i="8"/>
  <c r="L120" i="8" s="1"/>
  <c r="P113" i="8"/>
  <c r="O112" i="8"/>
  <c r="L139" i="8"/>
  <c r="L136" i="8"/>
  <c r="L137" i="8"/>
  <c r="P137" i="8" s="1"/>
  <c r="P138" i="8" s="1"/>
  <c r="L138" i="8"/>
  <c r="L140" i="8"/>
  <c r="L141" i="8" s="1"/>
  <c r="L42" i="8" s="1"/>
  <c r="P135" i="8"/>
  <c r="P139" i="8" s="1"/>
  <c r="O134" i="8"/>
  <c r="L160" i="8"/>
  <c r="L157" i="8"/>
  <c r="K14" i="8"/>
  <c r="L158" i="8"/>
  <c r="P158" i="8" s="1"/>
  <c r="P159" i="8" s="1"/>
  <c r="L159" i="8"/>
  <c r="L161" i="8"/>
  <c r="P156" i="8"/>
  <c r="P160" i="8" s="1"/>
  <c r="N155" i="8"/>
  <c r="O155" i="8" s="1"/>
  <c r="M155" i="8"/>
  <c r="N64" i="7" l="1"/>
  <c r="P118" i="8"/>
  <c r="P120" i="8" s="1"/>
  <c r="P96" i="8"/>
  <c r="P98" i="8" s="1"/>
  <c r="P75" i="8"/>
  <c r="P77" i="8" s="1"/>
  <c r="L162" i="8"/>
  <c r="L41" i="8" s="1"/>
  <c r="T51" i="8" s="1"/>
  <c r="L47" i="8" l="1"/>
  <c r="D169" i="8" l="1"/>
  <c r="D168" i="8"/>
  <c r="D172" i="8" l="1"/>
  <c r="E170" i="8" l="1"/>
  <c r="E171" i="8"/>
  <c r="E168" i="8"/>
  <c r="E169" i="8"/>
  <c r="AP23" i="11" l="1"/>
  <c r="AC24" i="11" s="1"/>
  <c r="J25" i="16" l="1"/>
  <c r="J27" i="16" s="1"/>
  <c r="H27" i="16"/>
  <c r="I25" i="16"/>
  <c r="I27" i="16" s="1"/>
  <c r="X33" i="11" l="1"/>
  <c r="X90" i="11"/>
  <c r="X91" i="11" l="1"/>
  <c r="X96" i="11" s="1"/>
  <c r="X99" i="11" l="1"/>
  <c r="E10" i="23" l="1"/>
  <c r="X101" i="11"/>
  <c r="N13" i="1"/>
  <c r="D22" i="23" l="1"/>
  <c r="F10" i="23" s="1"/>
  <c r="F11" i="23" l="1"/>
  <c r="D24" i="23"/>
  <c r="E23" i="23" s="1"/>
  <c r="I23" i="23" s="1"/>
  <c r="J95" i="1"/>
  <c r="L95" i="1"/>
  <c r="K95" i="1"/>
  <c r="M95" i="1"/>
  <c r="E22" i="23" l="1"/>
  <c r="I22" i="23" s="1"/>
  <c r="E28" i="23" s="1"/>
  <c r="E29" i="23"/>
  <c r="I29" i="23" s="1"/>
  <c r="L29" i="23"/>
  <c r="L28" i="23" l="1"/>
  <c r="L32" i="23" s="1"/>
  <c r="I15" i="1"/>
  <c r="J15" i="1" s="1"/>
  <c r="K15" i="1" s="1"/>
  <c r="L15" i="1" s="1"/>
  <c r="M15" i="1" s="1"/>
  <c r="J29" i="23"/>
  <c r="K29" i="23"/>
  <c r="I28" i="23"/>
  <c r="E30" i="23"/>
  <c r="E31" i="23" s="1"/>
  <c r="I95" i="1"/>
  <c r="N95" i="1" s="1"/>
  <c r="L30" i="23" l="1"/>
  <c r="L31" i="23"/>
  <c r="N15" i="1"/>
  <c r="L33" i="23"/>
  <c r="I31" i="23"/>
  <c r="I32" i="23"/>
  <c r="J28" i="23"/>
  <c r="K28" i="23"/>
  <c r="I30" i="23"/>
  <c r="I33" i="23" l="1"/>
  <c r="K30" i="23"/>
  <c r="K31" i="23"/>
  <c r="K32" i="23"/>
  <c r="J32" i="23"/>
  <c r="I9" i="1" s="1"/>
  <c r="J30" i="23"/>
  <c r="J31" i="23"/>
  <c r="I32" i="1" l="1"/>
  <c r="I48" i="1" s="1"/>
  <c r="J9" i="1"/>
  <c r="K33" i="23"/>
  <c r="I53" i="1"/>
  <c r="J33" i="23"/>
  <c r="J32" i="1" l="1"/>
  <c r="J48" i="1" s="1"/>
  <c r="K9" i="1"/>
  <c r="I75" i="1"/>
  <c r="J75" i="1" s="1"/>
  <c r="K75" i="1" s="1"/>
  <c r="L75" i="1" s="1"/>
  <c r="M75" i="1" s="1"/>
  <c r="J53" i="1"/>
  <c r="K53" i="1" s="1"/>
  <c r="L53" i="1" s="1"/>
  <c r="M53" i="1" s="1"/>
  <c r="L9" i="1" l="1"/>
  <c r="K32" i="1"/>
  <c r="K48" i="1" s="1"/>
  <c r="N53" i="1"/>
  <c r="M68" i="1"/>
  <c r="K68" i="1"/>
  <c r="J68" i="1"/>
  <c r="L68" i="1"/>
  <c r="I68" i="1"/>
  <c r="M9" i="1" l="1"/>
  <c r="M32" i="1" s="1"/>
  <c r="M48" i="1" s="1"/>
  <c r="L32" i="1"/>
  <c r="L48" i="1" s="1"/>
  <c r="K74" i="1"/>
  <c r="K77" i="1"/>
  <c r="K79" i="1" s="1"/>
  <c r="I74" i="1"/>
  <c r="I77" i="1"/>
  <c r="L74" i="1"/>
  <c r="J74" i="1"/>
  <c r="J77" i="1"/>
  <c r="J79" i="1" s="1"/>
  <c r="M74" i="1"/>
  <c r="N68" i="1"/>
  <c r="N74" i="1" s="1"/>
  <c r="M77" i="1" l="1"/>
  <c r="M79" i="1" s="1"/>
  <c r="L77" i="1"/>
  <c r="L79" i="1" s="1"/>
  <c r="N9" i="1"/>
  <c r="N32" i="1"/>
  <c r="N48" i="1" s="1"/>
  <c r="N75" i="1"/>
  <c r="N78" i="1"/>
  <c r="I79" i="1"/>
  <c r="N77" i="1" l="1"/>
  <c r="N79" i="1" s="1"/>
</calcChain>
</file>

<file path=xl/sharedStrings.xml><?xml version="1.0" encoding="utf-8"?>
<sst xmlns="http://schemas.openxmlformats.org/spreadsheetml/2006/main" count="2575" uniqueCount="1244">
  <si>
    <t>HILL COUNTRY TRANSIT DISTRICT</t>
  </si>
  <si>
    <t>FY2024 Proposed Budget (1/1/24 - 12/31/24)</t>
  </si>
  <si>
    <t>Presented to Board of Directors 11/20/23</t>
  </si>
  <si>
    <t>In Service</t>
  </si>
  <si>
    <t>Commuter Bus Allocation Based on Census 2020 Population by City</t>
  </si>
  <si>
    <t>Vehicles</t>
  </si>
  <si>
    <t>Cost Estimate</t>
  </si>
  <si>
    <t>Population</t>
  </si>
  <si>
    <t>Hours</t>
  </si>
  <si>
    <t>Allocated Cost</t>
  </si>
  <si>
    <t>TEMPLE</t>
  </si>
  <si>
    <t>BELTON</t>
  </si>
  <si>
    <t>KILLEEN</t>
  </si>
  <si>
    <t>COPPERAS COVE</t>
  </si>
  <si>
    <t>HARKER HEIGHTS</t>
  </si>
  <si>
    <t>Average Fare</t>
  </si>
  <si>
    <t>FY24 Budget Targets</t>
  </si>
  <si>
    <t>As of 6/6/2023</t>
  </si>
  <si>
    <t>Fully Allocated Expenses</t>
  </si>
  <si>
    <t>Avg. Daily</t>
  </si>
  <si>
    <t>Avg. Fleet During</t>
  </si>
  <si>
    <t>Annual Vehicle Revenue Hours</t>
  </si>
  <si>
    <t>Annual Passengers</t>
  </si>
  <si>
    <t>Proposed</t>
  </si>
  <si>
    <t>FY23</t>
  </si>
  <si>
    <t>Microtransit On-demand All Urban Zones</t>
  </si>
  <si>
    <t xml:space="preserve"> Service Hours</t>
  </si>
  <si>
    <t>Contingency</t>
  </si>
  <si>
    <t>FY24</t>
  </si>
  <si>
    <t>Budget</t>
  </si>
  <si>
    <t>All Zones - Avg. Wait Times 30min Peak</t>
  </si>
  <si>
    <t>260 Weekdays</t>
  </si>
  <si>
    <t>+10%</t>
  </si>
  <si>
    <t>+20%</t>
  </si>
  <si>
    <t>Low</t>
  </si>
  <si>
    <t>Med</t>
  </si>
  <si>
    <t>High</t>
  </si>
  <si>
    <t>Diff Lo/Hi</t>
  </si>
  <si>
    <t>7am - 11am + 3pm - 7pm</t>
  </si>
  <si>
    <t>All Zones - Avg. Wait Times 40min Off Peak</t>
  </si>
  <si>
    <t>11am - 3pm + 7pm - 9pm</t>
  </si>
  <si>
    <t>All Zones - Avg. Wait Times 30min Off Peak</t>
  </si>
  <si>
    <t>52 Weekend Days</t>
  </si>
  <si>
    <t>TNC Service Provider</t>
  </si>
  <si>
    <t>Medicaid Trips (50 daily)</t>
  </si>
  <si>
    <t>Total Microtransit On-demand</t>
  </si>
  <si>
    <r>
      <t xml:space="preserve">Commuter Bus - </t>
    </r>
    <r>
      <rPr>
        <b/>
        <sz val="8"/>
        <color theme="1"/>
        <rFont val="Calibri"/>
        <family val="2"/>
        <scheme val="minor"/>
      </rPr>
      <t>Stops in Temple, Belton, Nolanville, Harker Heights, Killeen, Copperas Cove</t>
    </r>
  </si>
  <si>
    <t xml:space="preserve">Rural </t>
  </si>
  <si>
    <t>Fort Cavazos (No Fare)</t>
  </si>
  <si>
    <t>County</t>
  </si>
  <si>
    <t>State &amp; Fed Funding Allocation</t>
  </si>
  <si>
    <t>NEMT Revenue</t>
  </si>
  <si>
    <t>Local Funding Contributions</t>
  </si>
  <si>
    <t>FY24 Budget Target</t>
  </si>
  <si>
    <t>FY24 County Funding Commitment</t>
  </si>
  <si>
    <t>Total Projected Expense</t>
  </si>
  <si>
    <t>Projected Revenue</t>
  </si>
  <si>
    <t>Federal Grant Revenue</t>
  </si>
  <si>
    <t>Bell County</t>
  </si>
  <si>
    <t>Federal Grant Carbon Reduction Grant</t>
  </si>
  <si>
    <t>Coryell County</t>
  </si>
  <si>
    <t>State Revenue</t>
  </si>
  <si>
    <t>Hamilton County</t>
  </si>
  <si>
    <t>Urban Medicaid Revenue</t>
  </si>
  <si>
    <t>Lampasas County</t>
  </si>
  <si>
    <t>Fare Revenue</t>
  </si>
  <si>
    <t>Llano County</t>
  </si>
  <si>
    <t>Killeen Local</t>
  </si>
  <si>
    <t>Mason County</t>
  </si>
  <si>
    <t>Temple Local</t>
  </si>
  <si>
    <t>Milam County</t>
  </si>
  <si>
    <t>Belton Local</t>
  </si>
  <si>
    <t>Mills County</t>
  </si>
  <si>
    <t>Copperas Cove Local</t>
  </si>
  <si>
    <t>San Saba</t>
  </si>
  <si>
    <t>Harker Heights Local</t>
  </si>
  <si>
    <t>Rural Local ($242,661 Medicaid + $543,841 Counties)</t>
  </si>
  <si>
    <t>Fort Cavazos</t>
  </si>
  <si>
    <t>Total Revenues</t>
  </si>
  <si>
    <t>Total Revenue All Sources</t>
  </si>
  <si>
    <t>Killeen UZA Federal Revenue Allocation</t>
  </si>
  <si>
    <t>State Grant Revenue</t>
  </si>
  <si>
    <t>Killeen State UZA Allocation</t>
  </si>
  <si>
    <t>Total Killeen</t>
  </si>
  <si>
    <t>Temple UZA Federal UZA Revenue Allocation</t>
  </si>
  <si>
    <t>Urban Local</t>
  </si>
  <si>
    <t>Temple State FY24 UZA Revenue Allocation + 5311 Grant Revenue</t>
  </si>
  <si>
    <t>Rural Medicaid Revenue</t>
  </si>
  <si>
    <t>Total Temple</t>
  </si>
  <si>
    <t>Rural Local</t>
  </si>
  <si>
    <t>Rural Federal Allocation</t>
  </si>
  <si>
    <t>Rural State Allocation</t>
  </si>
  <si>
    <t>Total</t>
  </si>
  <si>
    <t>Total Rural</t>
  </si>
  <si>
    <t>Estimates for Microtransit On-demand Copperas Cove Zones</t>
  </si>
  <si>
    <t xml:space="preserve">Medicaid Trips </t>
  </si>
  <si>
    <t>Commuter Bus Allocation</t>
  </si>
  <si>
    <t>Based on hours in each city</t>
  </si>
  <si>
    <t>Federal Revenue</t>
  </si>
  <si>
    <t>Total Revenue Sources</t>
  </si>
  <si>
    <t>Net Required Subsidy</t>
  </si>
  <si>
    <t>Estimates for Microtransit On-demand Harker Heights</t>
  </si>
  <si>
    <t>Estimates for Microtransit On-demand Killeen</t>
  </si>
  <si>
    <t>Killeen</t>
  </si>
  <si>
    <t>Cove</t>
  </si>
  <si>
    <t>Heights</t>
  </si>
  <si>
    <t>Killeen Current Local Revenue Share</t>
  </si>
  <si>
    <t>Estimates for Microtransit On-demand Belton</t>
  </si>
  <si>
    <t>Estimates for Microtransit On-demand Temple</t>
  </si>
  <si>
    <t>Belton</t>
  </si>
  <si>
    <t>All Zones - Avg. Wait Times 35min Off peak</t>
  </si>
  <si>
    <t>Temple</t>
  </si>
  <si>
    <t xml:space="preserve">Net Required Subsidy </t>
  </si>
  <si>
    <t>Total Expenses</t>
  </si>
  <si>
    <t>Rural</t>
  </si>
  <si>
    <t>A</t>
  </si>
  <si>
    <t>B</t>
  </si>
  <si>
    <t xml:space="preserve">TOTAL </t>
  </si>
  <si>
    <t>4.</t>
  </si>
  <si>
    <t>5.</t>
  </si>
  <si>
    <t>6.</t>
  </si>
  <si>
    <t>7.</t>
  </si>
  <si>
    <t>1</t>
  </si>
  <si>
    <t>2</t>
  </si>
  <si>
    <t>3</t>
  </si>
  <si>
    <t xml:space="preserve">SALARIES </t>
  </si>
  <si>
    <t xml:space="preserve">General Administration </t>
  </si>
  <si>
    <t xml:space="preserve">Vehicle Maintenance </t>
  </si>
  <si>
    <t xml:space="preserve">Vehicle Operator Others </t>
  </si>
  <si>
    <t xml:space="preserve">Vehicle Operators </t>
  </si>
  <si>
    <t>4</t>
  </si>
  <si>
    <t>FRINGE</t>
  </si>
  <si>
    <t>5</t>
  </si>
  <si>
    <t>CONSULTANT/CONTRACTUAL</t>
  </si>
  <si>
    <t>6</t>
  </si>
  <si>
    <t xml:space="preserve">AUDIT </t>
  </si>
  <si>
    <t>7</t>
  </si>
  <si>
    <t>PROFESSIONAL FEES</t>
  </si>
  <si>
    <t>8</t>
  </si>
  <si>
    <t xml:space="preserve">CONSUMABLE ADMIN SUPPLIES </t>
  </si>
  <si>
    <t>9</t>
  </si>
  <si>
    <t>TECHNOLOGY</t>
  </si>
  <si>
    <t>10</t>
  </si>
  <si>
    <t>PURCHASED TRANSPORTATION (TNC PROVIDER)</t>
  </si>
  <si>
    <t>11</t>
  </si>
  <si>
    <t>UTILITIES-ADMIN</t>
  </si>
  <si>
    <t>12</t>
  </si>
  <si>
    <t>TELEPHONE-ADMIN</t>
  </si>
  <si>
    <t>13</t>
  </si>
  <si>
    <t xml:space="preserve">INSURANCE - LIABILITY </t>
  </si>
  <si>
    <t>14</t>
  </si>
  <si>
    <t xml:space="preserve">OFFICE EQUIPMENT LEASING </t>
  </si>
  <si>
    <t>15</t>
  </si>
  <si>
    <t>OFFICE EQUIPMENT/FIXTURES</t>
  </si>
  <si>
    <t>16</t>
  </si>
  <si>
    <t>TRAVEL OUT-OF-AREA</t>
  </si>
  <si>
    <t>17</t>
  </si>
  <si>
    <t>MILEAGE</t>
  </si>
  <si>
    <t>18</t>
  </si>
  <si>
    <t xml:space="preserve">PUBLIC NOTICES </t>
  </si>
  <si>
    <t>19</t>
  </si>
  <si>
    <t>REGISTRATION FEES</t>
  </si>
  <si>
    <t>20</t>
  </si>
  <si>
    <t>MEMBERSHIP DUES</t>
  </si>
  <si>
    <t>21</t>
  </si>
  <si>
    <t>MARKETING</t>
  </si>
  <si>
    <t>22</t>
  </si>
  <si>
    <t>MISCELLANEOUS ADMIN</t>
  </si>
  <si>
    <t>23</t>
  </si>
  <si>
    <t xml:space="preserve">INSURANCE - BUILDING </t>
  </si>
  <si>
    <t>24</t>
  </si>
  <si>
    <t xml:space="preserve">CUSTODIAL SERVICES </t>
  </si>
  <si>
    <t>25</t>
  </si>
  <si>
    <t>BUILDING REPAIR/MAINTENANCE</t>
  </si>
  <si>
    <t>26</t>
  </si>
  <si>
    <t>OFFICE EQUIPMENT REPAIR/MAINT</t>
  </si>
  <si>
    <t>27</t>
  </si>
  <si>
    <t xml:space="preserve">INSURANCE - VEHICLE </t>
  </si>
  <si>
    <t>28</t>
  </si>
  <si>
    <t xml:space="preserve">FUEL AND OIL </t>
  </si>
  <si>
    <t>29</t>
  </si>
  <si>
    <t>TIRES</t>
  </si>
  <si>
    <t>30</t>
  </si>
  <si>
    <t xml:space="preserve">UTILITIES </t>
  </si>
  <si>
    <t>31</t>
  </si>
  <si>
    <t xml:space="preserve">TELEPHONE </t>
  </si>
  <si>
    <t>32</t>
  </si>
  <si>
    <t xml:space="preserve">FACILITY LEASING </t>
  </si>
  <si>
    <t>33</t>
  </si>
  <si>
    <t xml:space="preserve">COMMUNICATIONS </t>
  </si>
  <si>
    <t>34</t>
  </si>
  <si>
    <t>STAFF RECRUITMENT</t>
  </si>
  <si>
    <t>35</t>
  </si>
  <si>
    <t>STAFF TRAINING</t>
  </si>
  <si>
    <t>36</t>
  </si>
  <si>
    <t>STAFF UNIFORMS</t>
  </si>
  <si>
    <t>37</t>
  </si>
  <si>
    <t xml:space="preserve">MEDICAL SCREEN </t>
  </si>
  <si>
    <t>38</t>
  </si>
  <si>
    <t xml:space="preserve">DPS RECORD CHECK </t>
  </si>
  <si>
    <t>39</t>
  </si>
  <si>
    <t xml:space="preserve">DRUG/ALCOHOL TESTING </t>
  </si>
  <si>
    <t>40</t>
  </si>
  <si>
    <t xml:space="preserve">CONSUMABLE OPERATING SUPPLIES </t>
  </si>
  <si>
    <t>41</t>
  </si>
  <si>
    <t>MISCELLANEOUS OPERATING</t>
  </si>
  <si>
    <t>42</t>
  </si>
  <si>
    <t>43</t>
  </si>
  <si>
    <t>VEHICLE REPAIR, MAINT., INSPECT., REGISTR.</t>
  </si>
  <si>
    <t>44</t>
  </si>
  <si>
    <t>VEHICLE MAINT LABOR</t>
  </si>
  <si>
    <t>45</t>
  </si>
  <si>
    <t xml:space="preserve">PREV MNT - OTHER VEH MNT MATERIALS </t>
  </si>
  <si>
    <t>46</t>
  </si>
  <si>
    <t>PREV MNT - SHOP EQUIPMENT</t>
  </si>
  <si>
    <t>47</t>
  </si>
  <si>
    <t xml:space="preserve">PREV MNT - SHOP SUPPLIES </t>
  </si>
  <si>
    <t>48</t>
  </si>
  <si>
    <t xml:space="preserve">PREV MNT - VEH MNT INVENTORY </t>
  </si>
  <si>
    <t>49</t>
  </si>
  <si>
    <t xml:space="preserve">PREV MNT - FLEET MNT </t>
  </si>
  <si>
    <t>50</t>
  </si>
  <si>
    <t>PREV MNT - VEH REP,MNT,INSP,RG</t>
  </si>
  <si>
    <t>51</t>
  </si>
  <si>
    <t xml:space="preserve">FACILITY REPAIR &amp; MAINT </t>
  </si>
  <si>
    <t>52</t>
  </si>
  <si>
    <t>53</t>
  </si>
  <si>
    <t>54</t>
  </si>
  <si>
    <t>55</t>
  </si>
  <si>
    <t>56</t>
  </si>
  <si>
    <t>57</t>
  </si>
  <si>
    <t>58</t>
  </si>
  <si>
    <t xml:space="preserve">STATE </t>
  </si>
  <si>
    <t>60</t>
  </si>
  <si>
    <t>61</t>
  </si>
  <si>
    <t>62</t>
  </si>
  <si>
    <t xml:space="preserve">FARES EARNED </t>
  </si>
  <si>
    <t>63</t>
  </si>
  <si>
    <t>OTHER REVENUE</t>
  </si>
  <si>
    <t>64</t>
  </si>
  <si>
    <t>65</t>
  </si>
  <si>
    <t>82</t>
  </si>
  <si>
    <t>83</t>
  </si>
  <si>
    <t>FEDERAL CARES &amp; ARPA</t>
  </si>
  <si>
    <t xml:space="preserve">FEDERAL FORMULA </t>
  </si>
  <si>
    <t>LOCAL DIVISION EXPENSE</t>
  </si>
  <si>
    <t>Expenses</t>
  </si>
  <si>
    <t>Caltrans Congestion Mitigation Air Quality (CMAQ)</t>
  </si>
  <si>
    <t>Federal Transit Administration Allocations</t>
  </si>
  <si>
    <t xml:space="preserve"> FTA 5310</t>
  </si>
  <si>
    <t xml:space="preserve"> Surface Transportation Block Grant (STBG) ???</t>
  </si>
  <si>
    <t>City of South Lake Tahoe</t>
  </si>
  <si>
    <t>El Dorado County</t>
  </si>
  <si>
    <t>SSTMA Funding Partners: Event Center, Douglas County, LTVA, TDVA, Others</t>
  </si>
  <si>
    <t>The total available for operating assistance is based on FY 2018 NTD Data and the Section 5307 funding shown in FTA Apportionment Table #3.</t>
  </si>
  <si>
    <t xml:space="preserve">NOTES: </t>
  </si>
  <si>
    <t>1. Agencies that are included in this table AND that are eligible for grants under the Section 5307 Urbanized Area Formula Program are eligible to receive operating assistance under the provisions of 5307(a)(2)(A), subject to local allocation, up to the amounts specified in column "H" in Fiscal Year 2020.</t>
  </si>
  <si>
    <t>4. Public agencies that operate fixed route bus service and demand response service, excluding complementary ADA service, are permitted to use this provision in their Urbanized Area Formula Program grants.</t>
  </si>
  <si>
    <t xml:space="preserve">5. Certain transit operators that reported to NTD in a consolidated (multi-agency) report are included based on a vehicle revenue hour share proportional to the number of vehicles reported in maximum service.  </t>
  </si>
  <si>
    <t>6. Transit operators may receive a cap for each urbanized area in which they operate and report transit service.</t>
  </si>
  <si>
    <t>7. Agencies that contract for public transportation service from a private operator, and which otherwise qualify for an operating cap under this provision, have been credited with the vehicle revenue hours reported by the private provider as attributable to the public agency.</t>
  </si>
  <si>
    <t>Urbanized Area of Service Provided</t>
  </si>
  <si>
    <t>Public Transportation System Operator</t>
  </si>
  <si>
    <t>Vehicles Operated in Peak Fixed Route and Demand Response Service</t>
  </si>
  <si>
    <t xml:space="preserve">Apportionment to Urbanized Area </t>
  </si>
  <si>
    <t>Percent of Apportionment Attributable to Operator based on Vehicle Revenue Hours</t>
  </si>
  <si>
    <t>Eligible Percent Factor Category</t>
  </si>
  <si>
    <t>FY 2020 Maximum Amount of Section 5307 Operating Assistance Allowed</t>
  </si>
  <si>
    <t>FY 2020 Maximum Amount of Section 5307 Operating Assistance Allowed                   5307(a)(2)(B)</t>
  </si>
  <si>
    <t>FY18</t>
  </si>
  <si>
    <t>Lake Tahoe Region, CA-NV</t>
  </si>
  <si>
    <t>Placer County Department of Public Works and Facilities</t>
  </si>
  <si>
    <t>Tahoe Transportation District</t>
  </si>
  <si>
    <t>FY19</t>
  </si>
  <si>
    <t>FY20</t>
  </si>
  <si>
    <t>Lake Tahoe, CA-NV</t>
  </si>
  <si>
    <t>County of Placer</t>
  </si>
  <si>
    <t>FY21</t>
  </si>
  <si>
    <t>FY22</t>
  </si>
  <si>
    <t>FY27</t>
  </si>
  <si>
    <t>JPA</t>
  </si>
  <si>
    <r>
      <t xml:space="preserve">2. Beginning in FY17, agencies may </t>
    </r>
    <r>
      <rPr>
        <i/>
        <u/>
        <sz val="12"/>
        <color theme="1"/>
        <rFont val="Calibri"/>
        <family val="2"/>
        <scheme val="minor"/>
      </rPr>
      <t>alternatively</t>
    </r>
    <r>
      <rPr>
        <i/>
        <sz val="12"/>
        <color theme="1"/>
        <rFont val="Calibri"/>
        <family val="2"/>
        <scheme val="minor"/>
      </rPr>
      <t xml:space="preserve"> use program funds up to the amount shown in column "I" for operating assistance under 5307(a)(2)(B), provided that this amount is no greater than 50 or 75 percent of the total amount allocated to them for eligible projects through the local planning process, consistent with the eligible percent factor shown in column "G".</t>
    </r>
  </si>
  <si>
    <r>
      <t xml:space="preserve">3. This list </t>
    </r>
    <r>
      <rPr>
        <b/>
        <i/>
        <sz val="12"/>
        <color theme="1"/>
        <rFont val="Calibri"/>
        <family val="2"/>
        <scheme val="minor"/>
      </rPr>
      <t xml:space="preserve">does NOT indicate </t>
    </r>
    <r>
      <rPr>
        <i/>
        <sz val="12"/>
        <color theme="1"/>
        <rFont val="Calibri"/>
        <family val="2"/>
        <scheme val="minor"/>
      </rPr>
      <t>an agency's eligibility or entitlement for funding and does not represent an allocation of funding under the Urbanized Area Formula Program or any other FTA program.</t>
    </r>
  </si>
  <si>
    <t>FY27 JPA ASSUMPTIONS USING - FTA FY 2020 SECTION 5307 OPERATING ASSISTANCE SPECIAL RULE 
OPERATOR CAPS FOR URBANIZED AREAS OVER 200,000 IN POPULATION</t>
  </si>
  <si>
    <t>FY2027</t>
  </si>
  <si>
    <t>FY2028</t>
  </si>
  <si>
    <t>FY2029</t>
  </si>
  <si>
    <t>FY2023</t>
  </si>
  <si>
    <t>FY2031</t>
  </si>
  <si>
    <t>CAT 7/10 FHWY</t>
  </si>
  <si>
    <t>6am</t>
  </si>
  <si>
    <t>7am</t>
  </si>
  <si>
    <t>8am</t>
  </si>
  <si>
    <t>9am</t>
  </si>
  <si>
    <t>10am</t>
  </si>
  <si>
    <t>11am</t>
  </si>
  <si>
    <t>12pm</t>
  </si>
  <si>
    <t>Nonpeak days</t>
  </si>
  <si>
    <t>Peak Days</t>
  </si>
  <si>
    <t>TIME</t>
  </si>
  <si>
    <t>Service Days</t>
  </si>
  <si>
    <t>Passengers</t>
  </si>
  <si>
    <t>Vehicle Revenue Hours</t>
  </si>
  <si>
    <t>Total Vehicle Hours</t>
  </si>
  <si>
    <t>Vehicle Revenue Miles</t>
  </si>
  <si>
    <t>Total Vehicle Miles</t>
  </si>
  <si>
    <t>Passenger Miles</t>
  </si>
  <si>
    <t>SERVICE HOURS OFF-PEAK SEASON [OCT, NOVEMBER]</t>
  </si>
  <si>
    <t>SERVICE HOURS PEAK SEASON [JAN, FEB, MAR, JUN, JUL, AUG]</t>
  </si>
  <si>
    <t>SERVICE HOURS OFF-PEAK SEASON [SEP, DEC, APR, MAY]</t>
  </si>
  <si>
    <t>1pm</t>
  </si>
  <si>
    <t>2pm</t>
  </si>
  <si>
    <t>3pm</t>
  </si>
  <si>
    <t>4pm</t>
  </si>
  <si>
    <t>5pm</t>
  </si>
  <si>
    <t>6pm</t>
  </si>
  <si>
    <t>7pm</t>
  </si>
  <si>
    <t>8pm</t>
  </si>
  <si>
    <t>9pm</t>
  </si>
  <si>
    <t>10pm</t>
  </si>
  <si>
    <t>11pm</t>
  </si>
  <si>
    <t>Miles</t>
  </si>
  <si>
    <t>FTA 5339 (Prior Years) Allocable to California &amp; Nevada Service Area Operated by JPA</t>
  </si>
  <si>
    <t>FTA 5339 Future Years</t>
  </si>
  <si>
    <t>FTA 5307 CAPITAL, can be used for Opex</t>
  </si>
  <si>
    <t>FTA Sub-Allocation (5307, 5339, 5310)</t>
  </si>
  <si>
    <t>FY23 Full Year Apportionments</t>
  </si>
  <si>
    <t>https://www.transit.dot.gov/funding/apportionments/current-apportionments</t>
  </si>
  <si>
    <t xml:space="preserve">1. Updated with current NTD information </t>
  </si>
  <si>
    <t>National Transit Database and TRPA LT Info Data (2020/2021)</t>
  </si>
  <si>
    <t xml:space="preserve">2. Updated Allocation amounts from the FTA Apportionment table </t>
  </si>
  <si>
    <t>TTD</t>
  </si>
  <si>
    <t>Revenue Miles (urban)</t>
  </si>
  <si>
    <t>Ridership</t>
  </si>
  <si>
    <t>20/21</t>
  </si>
  <si>
    <t>CA</t>
  </si>
  <si>
    <t>NV</t>
  </si>
  <si>
    <t>Placer-TART</t>
  </si>
  <si>
    <t>FY21 FTA Allocation 5307</t>
  </si>
  <si>
    <t>Population (US Census)</t>
  </si>
  <si>
    <t>-</t>
  </si>
  <si>
    <t>2020 Census</t>
  </si>
  <si>
    <t>TOTAL</t>
  </si>
  <si>
    <t>Earned Share Factors</t>
  </si>
  <si>
    <t>Revenue Miles Factor</t>
  </si>
  <si>
    <t>Population Factor</t>
  </si>
  <si>
    <t>Ridership Factor</t>
  </si>
  <si>
    <t>Final %</t>
  </si>
  <si>
    <t>Placer</t>
  </si>
  <si>
    <t>Base + Earned Allocations</t>
  </si>
  <si>
    <t>Totals by Operator (Earned + Base)</t>
  </si>
  <si>
    <t>5307-Base</t>
  </si>
  <si>
    <t>5307-Earned</t>
  </si>
  <si>
    <t>5307-Total</t>
  </si>
  <si>
    <t>5307-Ops (75%)</t>
  </si>
  <si>
    <t>5307-Cap (25%)</t>
  </si>
  <si>
    <t>Event Center</t>
  </si>
  <si>
    <t>Max Section 5307 Operating Assistance Allowed 5307(a)(2)(B)</t>
  </si>
  <si>
    <t>Totals by Operator</t>
  </si>
  <si>
    <t>5307 Operating Assistance Special Rule - FY24</t>
  </si>
  <si>
    <t>National Transit Database and TRPA LT Info Data (2021/2022)</t>
  </si>
  <si>
    <t>FY24 Full Year Apportionments</t>
  </si>
  <si>
    <t>Microtransit 12month Rolling Ridership - 2023/2024</t>
  </si>
  <si>
    <t>Reserves</t>
  </si>
  <si>
    <t xml:space="preserve">Other Private Partners </t>
  </si>
  <si>
    <t>TDVA</t>
  </si>
  <si>
    <t>LTVA</t>
  </si>
  <si>
    <t>ADVANCE</t>
  </si>
  <si>
    <t>Tourism Implovement District</t>
  </si>
  <si>
    <t>Heavenly</t>
  </si>
  <si>
    <t>State of Nevada</t>
  </si>
  <si>
    <t>Douglas County</t>
  </si>
  <si>
    <t>FY24 Revenues</t>
  </si>
  <si>
    <t>Annual Travel Epenses</t>
  </si>
  <si>
    <t>December</t>
  </si>
  <si>
    <t>November</t>
  </si>
  <si>
    <t>October</t>
  </si>
  <si>
    <t>September</t>
  </si>
  <si>
    <t>August</t>
  </si>
  <si>
    <t>July</t>
  </si>
  <si>
    <t>June</t>
  </si>
  <si>
    <t>May</t>
  </si>
  <si>
    <t>April</t>
  </si>
  <si>
    <t>March</t>
  </si>
  <si>
    <t>February</t>
  </si>
  <si>
    <t>January</t>
  </si>
  <si>
    <t>Admin</t>
  </si>
  <si>
    <t>Downtowner</t>
  </si>
  <si>
    <t>HTG</t>
  </si>
  <si>
    <t>Total Total</t>
  </si>
  <si>
    <t>Hendrickson Transporation Group Management Fees</t>
  </si>
  <si>
    <t>CY24 Budget</t>
  </si>
  <si>
    <t>Zone 1</t>
  </si>
  <si>
    <t>Zone 3</t>
  </si>
  <si>
    <t>Zone 2</t>
  </si>
  <si>
    <t>Zone 4</t>
  </si>
  <si>
    <t>Zone 5</t>
  </si>
  <si>
    <t>Peak</t>
  </si>
  <si>
    <t>Off-Peak</t>
  </si>
  <si>
    <t>Early AM</t>
  </si>
  <si>
    <t>Weeks</t>
  </si>
  <si>
    <t>SERVICE BY HOUR</t>
  </si>
  <si>
    <t xml:space="preserve">SERVICE BY HOUR </t>
  </si>
  <si>
    <t>Weekdays Only</t>
  </si>
  <si>
    <t>Zone 6 LTCC to Stateline Service</t>
  </si>
  <si>
    <t>ZONE 6 SERVICE HOURS ROUTE 55 Replacement</t>
  </si>
  <si>
    <t>ZONE 7 EMERALD BAY</t>
  </si>
  <si>
    <t>Zone 8 Meyers</t>
  </si>
  <si>
    <t>Total Projected Operating Expenses (w/Zone 6)</t>
  </si>
  <si>
    <t>Total Projected Operating Expenses (w/Zone 7)</t>
  </si>
  <si>
    <t>Total Projected Operating Expenses (w/Zone8)</t>
  </si>
  <si>
    <t>Zone 7 Emerald Bay Reservation Service Expense</t>
  </si>
  <si>
    <t>VRM</t>
  </si>
  <si>
    <t>Vehicle</t>
  </si>
  <si>
    <t>Revenue</t>
  </si>
  <si>
    <t>FY28</t>
  </si>
  <si>
    <t>Average Miles Per Rev Hour</t>
  </si>
  <si>
    <t>VRH</t>
  </si>
  <si>
    <t>Px</t>
  </si>
  <si>
    <t>VRM TTD</t>
  </si>
  <si>
    <t>VRM JPA</t>
  </si>
  <si>
    <t>VRH JPA</t>
  </si>
  <si>
    <t>hr</t>
  </si>
  <si>
    <t>Peak Days Friday-Saturday</t>
  </si>
  <si>
    <t>Miles per RH</t>
  </si>
  <si>
    <t>ADA Overflow</t>
  </si>
  <si>
    <t>LAKE LINK - 12 MONTH ROLLING STATISTICS</t>
  </si>
  <si>
    <t>LAKE LINK ZONES 1-5</t>
  </si>
  <si>
    <t>SERVICE OPTIONS</t>
  </si>
  <si>
    <t xml:space="preserve"> FTA 5311 Allocation (For Portion of Rural El Dorado County) covered by JPA - Funidng Source may need to come from El Dorado County Transit???</t>
  </si>
  <si>
    <t>???</t>
  </si>
  <si>
    <t>SERVICE HOURS [JUN, JUL, AUG]</t>
  </si>
  <si>
    <t>California Transportation Development Act  (TDA)</t>
  </si>
  <si>
    <t>Total Capital</t>
  </si>
  <si>
    <t>Possible Transportation Toll Credits = 20%</t>
  </si>
  <si>
    <t>Total Projected FY27 Capital Funding</t>
  </si>
  <si>
    <t>Allocation of Prior Years Federal 5307 Attributal to South Shore Services</t>
  </si>
  <si>
    <t>Allocation of Prior Years Federal 5310 Attributal to South Shore Services</t>
  </si>
  <si>
    <t>Allocation of Prior Years Federal Descreationary Funding</t>
  </si>
  <si>
    <t>Allocation of Prior Years Federal Comptetitive Grant Funding</t>
  </si>
  <si>
    <t>Bus &amp; Bus Failicities</t>
  </si>
  <si>
    <t>Zero Emissions</t>
  </si>
  <si>
    <t>Other</t>
  </si>
  <si>
    <t>*Split</t>
  </si>
  <si>
    <t>*Split should use similar formula focused on area currently served by TTD in California and Nevada</t>
  </si>
  <si>
    <t>EXAMPLE</t>
  </si>
  <si>
    <r>
      <t>FEDERAL FUNDING APPORTIONMENT DISCUSSIONS AND "</t>
    </r>
    <r>
      <rPr>
        <b/>
        <sz val="16"/>
        <color rgb="FFFF0000"/>
        <rFont val="Calibri"/>
        <family val="2"/>
        <scheme val="minor"/>
      </rPr>
      <t>EXAMPLE"</t>
    </r>
    <r>
      <rPr>
        <b/>
        <sz val="16"/>
        <color theme="4"/>
        <rFont val="Calibri"/>
        <family val="2"/>
        <scheme val="minor"/>
      </rPr>
      <t xml:space="preserve"> DATA</t>
    </r>
  </si>
  <si>
    <r>
      <rPr>
        <b/>
        <sz val="14"/>
        <color rgb="FFFF0000"/>
        <rFont val="Calibri"/>
        <family val="2"/>
        <scheme val="minor"/>
      </rPr>
      <t>"EXAMPLE"</t>
    </r>
    <r>
      <rPr>
        <b/>
        <sz val="14"/>
        <color theme="1"/>
        <rFont val="Calibri"/>
        <family val="2"/>
        <scheme val="minor"/>
      </rPr>
      <t xml:space="preserve"> Totals by Operator (Earned + Base)</t>
    </r>
  </si>
  <si>
    <t>ZONE 6 ALTERNATIVE TO ROUTE 55</t>
  </si>
  <si>
    <t>Comps</t>
  </si>
  <si>
    <t># of Vehicles</t>
  </si>
  <si>
    <t xml:space="preserve">Mammoth, Ca </t>
  </si>
  <si>
    <t>Jackson Hole, Wy</t>
  </si>
  <si>
    <t>Park City, Ut</t>
  </si>
  <si>
    <t>Eagle County, Co</t>
  </si>
  <si>
    <t>Summit County, Co</t>
  </si>
  <si>
    <t>Steamboat Springs, Co</t>
  </si>
  <si>
    <t>Whistler</t>
  </si>
  <si>
    <t>Vail, Co</t>
  </si>
  <si>
    <t>Sun Valley, Id</t>
  </si>
  <si>
    <t>Aspen</t>
  </si>
  <si>
    <t>Total Lake Link Operating Expenses by year</t>
  </si>
  <si>
    <t>Total Projected Operating Expenses (Lake Link + fx bus)</t>
  </si>
  <si>
    <t>MAJOR ASSUMPTIONS</t>
  </si>
  <si>
    <t>WORKING DRAFT</t>
  </si>
  <si>
    <t xml:space="preserve">EARNED REVENUE - CITY </t>
  </si>
  <si>
    <t>EARNED REVENUE - County</t>
  </si>
  <si>
    <t xml:space="preserve"> TOTAL REVENUE </t>
  </si>
  <si>
    <t>TBID/TOT, Other</t>
  </si>
  <si>
    <t xml:space="preserve"> FY28 </t>
  </si>
  <si>
    <t>FY29</t>
  </si>
  <si>
    <t>Projected Annual Budget</t>
  </si>
  <si>
    <t>FY30</t>
  </si>
  <si>
    <t>FY31</t>
  </si>
  <si>
    <t xml:space="preserve">TOTAL EXPENSE </t>
  </si>
  <si>
    <t xml:space="preserve">TOTAL REVENUE </t>
  </si>
  <si>
    <t>%</t>
  </si>
  <si>
    <t>Hi Raymond,</t>
  </si>
  <si>
    <t>Here’s a breakdown of the actual annual revenue miles TTD operated for 22 and 19x in FY23. These are the latest numbers I have for them. And then I’ve included my estimate for Route 21x assuming it operates every 60 minutes from 6am to 7pm. I’m probably overestimating the actual service TTD has planned, but it’s not totally clear from their SRTP how it would operate.</t>
  </si>
  <si>
    <t>FY23 Total Revenue Miles</t>
  </si>
  <si>
    <t>19x</t>
  </si>
  <si>
    <t>21x (estimate)</t>
  </si>
  <si>
    <t>Unfortunately, I don’t have revenue miles separated out by jurisdiction. It hasn’t been a statistic we thought was important to collect until now. TTD might have those figures, but I’m not sure. I think your methodology could work, but I’m a little concerned it will back us into a corner of only providing services according to available dollars and not based on community need. I’d be interested to see what the formula shows, but very hesitant to bring it forward as an actual method of assigning costs…</t>
  </si>
  <si>
    <t>Thanks,</t>
  </si>
  <si>
    <t>Senior Transportation Planner</t>
  </si>
  <si>
    <t>Regional Planning Department</t>
  </si>
  <si>
    <t>775-589-5236 | krichardson@trpa.gov</t>
  </si>
  <si>
    <t>**Note new name and email</t>
  </si>
  <si>
    <t>Kira Richardson (she/her)</t>
  </si>
  <si>
    <t xml:space="preserve">  </t>
  </si>
  <si>
    <t xml:space="preserve">   LTF (JPA Full Amount?)  (Growth Projected at 1.5% annually)</t>
  </si>
  <si>
    <t xml:space="preserve">   STA (Growth Projected at 1.5% annually)</t>
  </si>
  <si>
    <t>Total Fx Bus Operting Expenses by year</t>
  </si>
  <si>
    <t xml:space="preserve">  Event Center</t>
  </si>
  <si>
    <t xml:space="preserve">  Douglas County</t>
  </si>
  <si>
    <t xml:space="preserve">  LTVA</t>
  </si>
  <si>
    <t xml:space="preserve">  Other Partners</t>
  </si>
  <si>
    <t>775-901-3466 mobile</t>
  </si>
  <si>
    <t>fx19/22 Interlined</t>
  </si>
  <si>
    <t xml:space="preserve">Projected Operating Expenses </t>
  </si>
  <si>
    <t>Revenue Sources</t>
  </si>
  <si>
    <t>*$13M allocated $4M for south shore operations $2.1 unallocated</t>
  </si>
  <si>
    <t>California SB125 (California) South Shore Transit Operations Support (must be a TDA Operator)*</t>
  </si>
  <si>
    <t xml:space="preserve"> Emerald Bay Fares = $15 per ride, each way</t>
  </si>
  <si>
    <t>Fares</t>
  </si>
  <si>
    <t xml:space="preserve"> Revenue &amp; Expense Assumptions (10/1/26 - 09/30/31)</t>
  </si>
  <si>
    <t xml:space="preserve"> Meyers Fare = $5.00 Downtowner+Uber</t>
  </si>
  <si>
    <t>Zone 8 Meyers Service w/uber</t>
  </si>
  <si>
    <t xml:space="preserve"> FTA 5307 Block Grant</t>
  </si>
  <si>
    <t xml:space="preserve"> FTA 5310 Elderly &amp; Disabilities</t>
  </si>
  <si>
    <t xml:space="preserve">   SGR Growth Projected at 1.5% annually (state of good repair)</t>
  </si>
  <si>
    <t>Caltrans Transportation Development Credits from Tolls (CAPx)</t>
  </si>
  <si>
    <t>FEDERAL TRANSIT ADMINISTRATION</t>
  </si>
  <si>
    <t>Table 3</t>
  </si>
  <si>
    <t xml:space="preserve"> FY 2024 FULL YEAR SECTION 5307 AND SECTION 5340 URBANIZED AREA APPORTIONMENTS</t>
  </si>
  <si>
    <t>The amount apportioned in this notice includes funding authorized under the Bipartisan Infrastructure Law, enacted as the Infrastructure Investment and Jobs Act (Pub. L. 117-58), and is based on funding made available under the Consolidated Appropriations Act, 2024 (H.R. 4366 / Public Law 118-42, March 9, 2024).</t>
  </si>
  <si>
    <r>
      <t xml:space="preserve">Note: This table shows the amounts attributable to each State of a Multi-State Urbanized Area over 200,000 in population. These amounts are for </t>
    </r>
    <r>
      <rPr>
        <b/>
        <i/>
        <sz val="10"/>
        <rFont val="Arial"/>
        <family val="2"/>
      </rPr>
      <t xml:space="preserve">illustrative purposes only. </t>
    </r>
    <r>
      <rPr>
        <i/>
        <sz val="10"/>
        <rFont val="Arial"/>
        <family val="2"/>
      </rPr>
      <t>Designated recipients shall continue to sub-allocate funds allocated to an urbanized area based on a locally determined process, consistent with Section 5307 statutory requirements. Each State's share of a multi-state urbanized area was calculated on the basis of the percentage of population attributable to the States in the UZA, as determined by the 2020 Census.</t>
    </r>
  </si>
  <si>
    <t>URBANIZED AREA/STATE</t>
  </si>
  <si>
    <t>Grand Total</t>
  </si>
  <si>
    <t>1,000,000 or more in Population (Large)</t>
  </si>
  <si>
    <t>200,000 - 999,999 in Population (Medium)</t>
  </si>
  <si>
    <t>50,000 - 199,999 in Population (Small)</t>
  </si>
  <si>
    <t>Total:</t>
  </si>
  <si>
    <t>Amounts Apportioned to Urbanized Areas 1,000,000 or more in Population:</t>
  </si>
  <si>
    <t>Atlanta, GA</t>
  </si>
  <si>
    <t>Georgia</t>
  </si>
  <si>
    <t>Austin, TX</t>
  </si>
  <si>
    <t>Texas</t>
  </si>
  <si>
    <t>Baltimore, MD</t>
  </si>
  <si>
    <t>Maryland</t>
  </si>
  <si>
    <t>Boston, MA-NH</t>
  </si>
  <si>
    <t>Massachusetts</t>
  </si>
  <si>
    <t>New Hampshire</t>
  </si>
  <si>
    <t>Boston, MA-NH Total</t>
  </si>
  <si>
    <t>Charlotte, NC-SC</t>
  </si>
  <si>
    <t>North Carolina</t>
  </si>
  <si>
    <t>South Carolina</t>
  </si>
  <si>
    <t>Charlotte, NC-SC Total</t>
  </si>
  <si>
    <t>Chicago, IL-IN</t>
  </si>
  <si>
    <t>Illinois</t>
  </si>
  <si>
    <t>Indiana</t>
  </si>
  <si>
    <t>Chicago, IL-IN Total</t>
  </si>
  <si>
    <t>Cincinnati, OH-KY</t>
  </si>
  <si>
    <t>Kentucky</t>
  </si>
  <si>
    <t>Ohio</t>
  </si>
  <si>
    <t>Cincinnati, OH-KY Total</t>
  </si>
  <si>
    <t>Cleveland, OH</t>
  </si>
  <si>
    <t>Columbus, OH</t>
  </si>
  <si>
    <t>Dallas-Fort Worth-Arlington, TX</t>
  </si>
  <si>
    <t>Denver-Aurora, CO</t>
  </si>
  <si>
    <t>Colorado</t>
  </si>
  <si>
    <t>Detroit, MI</t>
  </si>
  <si>
    <t>Michigan</t>
  </si>
  <si>
    <t>Houston, TX</t>
  </si>
  <si>
    <t>Indianapolis, IN</t>
  </si>
  <si>
    <t>Jacksonville, FL</t>
  </si>
  <si>
    <t>Florida</t>
  </si>
  <si>
    <t>Kansas City, MO-KS</t>
  </si>
  <si>
    <t>Kansas</t>
  </si>
  <si>
    <t>Missouri</t>
  </si>
  <si>
    <t>Kansas City, MO-KS Total</t>
  </si>
  <si>
    <t>Las Vegas-Henderson-Paradise, NV</t>
  </si>
  <si>
    <t>Nevada</t>
  </si>
  <si>
    <t>Los Angeles-Long Beach-Anaheim, CA</t>
  </si>
  <si>
    <t>California</t>
  </si>
  <si>
    <t>Memphis, TN-MS-AR</t>
  </si>
  <si>
    <t>Arkansas</t>
  </si>
  <si>
    <t>Mississippi</t>
  </si>
  <si>
    <t>Tennessee</t>
  </si>
  <si>
    <t>Memphis, TN-MS-AR Total</t>
  </si>
  <si>
    <t>Miami-Fort Lauderdale, FL</t>
  </si>
  <si>
    <t>Milwaukee, WI</t>
  </si>
  <si>
    <t>Wisconsin</t>
  </si>
  <si>
    <t>Minneapolis-St. Paul, MN</t>
  </si>
  <si>
    <t>Minnesota</t>
  </si>
  <si>
    <t>Nashville-Davidson, TN</t>
  </si>
  <si>
    <t>New York-Jersey City-Newark, NY-NJ</t>
  </si>
  <si>
    <t>New Jersey</t>
  </si>
  <si>
    <t>New York</t>
  </si>
  <si>
    <t>New York-Jersey City-Newark, NY-NJ Total</t>
  </si>
  <si>
    <t>Orlando, FL</t>
  </si>
  <si>
    <t>Philadelphia, PA-NJ-DE-MD</t>
  </si>
  <si>
    <t>Delaware</t>
  </si>
  <si>
    <t>Pennsylvania</t>
  </si>
  <si>
    <t>Philadelphia, PA-NJ-DE-MD Total</t>
  </si>
  <si>
    <t>Phoenix-Mesa-Scottsdale, AZ</t>
  </si>
  <si>
    <t>Arizona</t>
  </si>
  <si>
    <t>Pittsburgh, PA</t>
  </si>
  <si>
    <t>Portland, OR-WA</t>
  </si>
  <si>
    <t>Oregon</t>
  </si>
  <si>
    <t>Washington</t>
  </si>
  <si>
    <t>Portland, OR-WA Total</t>
  </si>
  <si>
    <t>Providence, RI-MA</t>
  </si>
  <si>
    <t>Rhode Island</t>
  </si>
  <si>
    <t>Providence, RI-MA Total</t>
  </si>
  <si>
    <t>Raleigh, NC</t>
  </si>
  <si>
    <t>Richmond, VA</t>
  </si>
  <si>
    <t>Virginia</t>
  </si>
  <si>
    <t>Riverside-San Bernardino, CA</t>
  </si>
  <si>
    <t>Sacramento, CA</t>
  </si>
  <si>
    <t>Salt Lake City, UT</t>
  </si>
  <si>
    <t>Utah</t>
  </si>
  <si>
    <t>San Antonio, TX</t>
  </si>
  <si>
    <t>San Diego, CA</t>
  </si>
  <si>
    <t>San Francisco-Oakland, CA</t>
  </si>
  <si>
    <t>San Jose, CA</t>
  </si>
  <si>
    <t>San Juan, PR</t>
  </si>
  <si>
    <t>Puerto Rico</t>
  </si>
  <si>
    <t>Seattle-Tacoma, WA</t>
  </si>
  <si>
    <t>St. Louis, MO-IL</t>
  </si>
  <si>
    <t>St. Louis, MO-IL Total</t>
  </si>
  <si>
    <t>Tampa-St. Petersburg, FL</t>
  </si>
  <si>
    <t>Virginia Beach-Norfolk, VA</t>
  </si>
  <si>
    <t>Washington-Arlington, DC-VA-MD</t>
  </si>
  <si>
    <t>District of Columbia</t>
  </si>
  <si>
    <t>Washington-Arlington, DC-VA-MD Total</t>
  </si>
  <si>
    <t xml:space="preserve">Total </t>
  </si>
  <si>
    <t>Amounts Apportioned to Urbanized Areas 200,000 to 1 million in Population:</t>
  </si>
  <si>
    <t>Aguadilla-Isabela-San Sebastián, PR</t>
  </si>
  <si>
    <t>Akron, OH</t>
  </si>
  <si>
    <t>Albany-Schenectady, NY</t>
  </si>
  <si>
    <t>Albuquerque, NM</t>
  </si>
  <si>
    <t>New Mexico</t>
  </si>
  <si>
    <t>Allentown-Bethlehem, PA-NJ</t>
  </si>
  <si>
    <t>Allentown-Bethlehem, PA-NJ Total</t>
  </si>
  <si>
    <t>Amarillo, TX</t>
  </si>
  <si>
    <t>Anchorage, AK</t>
  </si>
  <si>
    <t>Alaska</t>
  </si>
  <si>
    <t>Ann Arbor, MI</t>
  </si>
  <si>
    <t>Antioch, CA</t>
  </si>
  <si>
    <t>Appleton, WI</t>
  </si>
  <si>
    <t>Asheville, NC</t>
  </si>
  <si>
    <t>Atlantic City-Ocean City-Villas, NJ</t>
  </si>
  <si>
    <t>Augusta-Richmond County, GA-SC</t>
  </si>
  <si>
    <t>Augusta-Richmond County, GA-SC Total</t>
  </si>
  <si>
    <t>Bakersfield, CA</t>
  </si>
  <si>
    <t>Barnstable Town, MA</t>
  </si>
  <si>
    <t>Baton Rouge, LA</t>
  </si>
  <si>
    <t>Louisiana</t>
  </si>
  <si>
    <t>Bel Air-Aberdeen, MD</t>
  </si>
  <si>
    <t>Birmingham, AL</t>
  </si>
  <si>
    <t>Alabama</t>
  </si>
  <si>
    <t>Boise City, ID</t>
  </si>
  <si>
    <t>Idaho</t>
  </si>
  <si>
    <t>Bonita Springs-Estero, FL</t>
  </si>
  <si>
    <t>Bradenton-Sarasota-Venice, FL</t>
  </si>
  <si>
    <t>Bremerton, WA</t>
  </si>
  <si>
    <t>Bridgeport-Stamford, CT-NY</t>
  </si>
  <si>
    <t>Connecticut</t>
  </si>
  <si>
    <t>Bridgeport-Stamford, CT-NY Total</t>
  </si>
  <si>
    <t>Brownsville, TX</t>
  </si>
  <si>
    <t>Buffalo, NY</t>
  </si>
  <si>
    <t>Canton, OH</t>
  </si>
  <si>
    <t>Cape Coral, FL</t>
  </si>
  <si>
    <t>Charleston, SC</t>
  </si>
  <si>
    <t>Chattanooga, TN-GA</t>
  </si>
  <si>
    <t>Chattanooga, TN-GA Total</t>
  </si>
  <si>
    <t>Clarksville, TN-KY</t>
  </si>
  <si>
    <t>Clarksville, TN-KY Total</t>
  </si>
  <si>
    <t>College Station-Bryan, TX</t>
  </si>
  <si>
    <t>Colorado Springs, CO</t>
  </si>
  <si>
    <t>Columbia, SC</t>
  </si>
  <si>
    <t>Columbus, GA-AL</t>
  </si>
  <si>
    <t>Columbus, GA-AL Total</t>
  </si>
  <si>
    <t>Concord, NC</t>
  </si>
  <si>
    <t>Concord-Walnut Creek, CA</t>
  </si>
  <si>
    <t>Corpus Christi, TX</t>
  </si>
  <si>
    <t>Davenport, IA-IL</t>
  </si>
  <si>
    <t>Iowa</t>
  </si>
  <si>
    <t>Davenport, IA-IL Total</t>
  </si>
  <si>
    <t>Dayton, OH</t>
  </si>
  <si>
    <t>Daytona Beach-Palm Coast-Port Orange, FL</t>
  </si>
  <si>
    <t>Deltona, FL</t>
  </si>
  <si>
    <t>Denton-Lewisville, TX</t>
  </si>
  <si>
    <t>Des Moines, IA</t>
  </si>
  <si>
    <t>Durham, NC</t>
  </si>
  <si>
    <t>El Paso, TX-NM</t>
  </si>
  <si>
    <t>El Paso, TX-NM Total</t>
  </si>
  <si>
    <t>Eugene, OR</t>
  </si>
  <si>
    <t>Evansville, IN</t>
  </si>
  <si>
    <t>Fargo, ND-MN</t>
  </si>
  <si>
    <t>North Dakota</t>
  </si>
  <si>
    <t>Fargo, ND-MN Total</t>
  </si>
  <si>
    <t>Fayetteville, NC</t>
  </si>
  <si>
    <t>Fayetteville-Springdale-Rogers, AR-MO</t>
  </si>
  <si>
    <t>Fayetteville-Springdale-Rogers, AR-MO Total</t>
  </si>
  <si>
    <t>Flint, MI</t>
  </si>
  <si>
    <t>Fort Collins, CO</t>
  </si>
  <si>
    <t>Fort Wayne, IN</t>
  </si>
  <si>
    <t>Fresno, CA</t>
  </si>
  <si>
    <t>Gainesville, FL</t>
  </si>
  <si>
    <t>Grand Rapids, MI</t>
  </si>
  <si>
    <t>Green Bay, WI</t>
  </si>
  <si>
    <t>Greensboro, NC</t>
  </si>
  <si>
    <t>Greenville, SC</t>
  </si>
  <si>
    <t>Gulfport-Biloxi, MS</t>
  </si>
  <si>
    <t>Harrisburg, PA</t>
  </si>
  <si>
    <t>Hartford, CT</t>
  </si>
  <si>
    <t>Hickory, NC</t>
  </si>
  <si>
    <t>Honolulu, HI</t>
  </si>
  <si>
    <t>Hawaii</t>
  </si>
  <si>
    <t>Huntington, WV-KY-OH</t>
  </si>
  <si>
    <t>West Virginia</t>
  </si>
  <si>
    <t>Huntington, WV-KY-OH Total</t>
  </si>
  <si>
    <t>Huntsville, AL</t>
  </si>
  <si>
    <t>Indio-Palm Desert-Palm Springs, CA</t>
  </si>
  <si>
    <t>Jackson, MS</t>
  </si>
  <si>
    <t>Kalamazoo, MI</t>
  </si>
  <si>
    <t>Kennewick-Richland-Pasco, WA</t>
  </si>
  <si>
    <t>Killeen, TX</t>
  </si>
  <si>
    <t>Kissimmee-St. Cloud, FL</t>
  </si>
  <si>
    <t>Knoxville, TN</t>
  </si>
  <si>
    <t>Lafayette, LA</t>
  </si>
  <si>
    <t>Lake Tahoe Region, CA-NV Total</t>
  </si>
  <si>
    <t>Lakeland, FL</t>
  </si>
  <si>
    <t>Lancaster-Manheim, PA</t>
  </si>
  <si>
    <t>Lansing, MI</t>
  </si>
  <si>
    <t>Laredo, TX</t>
  </si>
  <si>
    <t>Lexington-Fayette, KY</t>
  </si>
  <si>
    <t>Lincoln, NE</t>
  </si>
  <si>
    <t>Nebraska</t>
  </si>
  <si>
    <t>Little Rock, AR</t>
  </si>
  <si>
    <t>Livermore-Pleasanton-Dublin, CA</t>
  </si>
  <si>
    <t>Louisville/Jefferson County, KY-IN</t>
  </si>
  <si>
    <t>Louisville/Jefferson County, KY-IN Total</t>
  </si>
  <si>
    <t>Lubbock, TX</t>
  </si>
  <si>
    <t>Madison, WI</t>
  </si>
  <si>
    <t>McAllen, TX</t>
  </si>
  <si>
    <t>McKinney-Frisco, TX</t>
  </si>
  <si>
    <t>Mission Viejo-Lake Forest-Laguna Niguel, CA</t>
  </si>
  <si>
    <t>Mobile, AL</t>
  </si>
  <si>
    <t>Modesto, CA</t>
  </si>
  <si>
    <t>Montgomery, AL</t>
  </si>
  <si>
    <t>Myrtle Beach-North Myrtle Beach, SC-NC</t>
  </si>
  <si>
    <t>Myrtle Beach-North Myrtle Beach, SC-NC Total</t>
  </si>
  <si>
    <t>Nashua, NH-MA</t>
  </si>
  <si>
    <t>Nashua, NH-MA Total</t>
  </si>
  <si>
    <t>Navarre-Miramar Beach-Destin, FL</t>
  </si>
  <si>
    <t>New Haven, CT</t>
  </si>
  <si>
    <t>New Orleans, LA</t>
  </si>
  <si>
    <t>Ogden-Layton, UT</t>
  </si>
  <si>
    <t>Oklahoma City, OK</t>
  </si>
  <si>
    <t>Oklahoma</t>
  </si>
  <si>
    <t>Olympia-Lacey, WA</t>
  </si>
  <si>
    <t>Omaha, NE-IA</t>
  </si>
  <si>
    <t>Omaha, NE-IA Total</t>
  </si>
  <si>
    <t>Oxnard-San Buenaventura (Ventura), CA</t>
  </si>
  <si>
    <t>Palm Bay-Melbourne, FL</t>
  </si>
  <si>
    <t>Palmdale-Lancaster, CA</t>
  </si>
  <si>
    <t>Pensacola, FL-AL</t>
  </si>
  <si>
    <t>Pensacola, FL-AL Total</t>
  </si>
  <si>
    <t>Peoria, IL</t>
  </si>
  <si>
    <t>Phoenix West-Goodyear-Avondale, AZ</t>
  </si>
  <si>
    <t>Port St. Lucie, FL</t>
  </si>
  <si>
    <t>Portland, ME</t>
  </si>
  <si>
    <t>Maine</t>
  </si>
  <si>
    <t>Poughkeepsie-Newburgh, NY</t>
  </si>
  <si>
    <t>Provo-Orem, UT</t>
  </si>
  <si>
    <t>Reading, PA</t>
  </si>
  <si>
    <t>Reno, NV-CA</t>
  </si>
  <si>
    <t>Reno, NV-CA Total</t>
  </si>
  <si>
    <t>Roanoke, VA</t>
  </si>
  <si>
    <t>Rochester, NY</t>
  </si>
  <si>
    <t>Rock Hill, SC</t>
  </si>
  <si>
    <t>Rockford, IL</t>
  </si>
  <si>
    <t>Round Lake Beach-McHenry-Grayslake, IL-WI</t>
  </si>
  <si>
    <t>Round Lake Beach-McHenry-Grayslake, IL-WI Total</t>
  </si>
  <si>
    <t>Salem, OR</t>
  </si>
  <si>
    <t>Santa Barbara, CA</t>
  </si>
  <si>
    <t>Santa Clarita, CA</t>
  </si>
  <si>
    <t>Santa Rosa, CA</t>
  </si>
  <si>
    <t>Savannah, GA</t>
  </si>
  <si>
    <t>Scranton, PA</t>
  </si>
  <si>
    <t>Shreveport, LA</t>
  </si>
  <si>
    <t>South Bend, IN-MI</t>
  </si>
  <si>
    <t>South Bend, IN-MI Total</t>
  </si>
  <si>
    <t>Spokane, WA</t>
  </si>
  <si>
    <t>Springfield, MA-CT</t>
  </si>
  <si>
    <t>Springfield, MA-CT Total</t>
  </si>
  <si>
    <t>Springfield, MO</t>
  </si>
  <si>
    <t>Stockton, CA</t>
  </si>
  <si>
    <t>Syracuse, NY</t>
  </si>
  <si>
    <t>Tallahassee, FL</t>
  </si>
  <si>
    <t>Temecula-Murrieta-Menifee, CA</t>
  </si>
  <si>
    <t>The Woodlands-Conroe, TX</t>
  </si>
  <si>
    <t>Thousand Oaks, CA</t>
  </si>
  <si>
    <t>Toledo, OH-MI</t>
  </si>
  <si>
    <t>Toledo, OH-MI Total</t>
  </si>
  <si>
    <t>Trenton, NJ</t>
  </si>
  <si>
    <t>Tucson, AZ</t>
  </si>
  <si>
    <t>Tulsa, OK</t>
  </si>
  <si>
    <t>Victorville-Hesperia-Apple Valley, CA</t>
  </si>
  <si>
    <t>Wichita, KS</t>
  </si>
  <si>
    <t>Wilmington, NC</t>
  </si>
  <si>
    <t>Winston-Salem, NC</t>
  </si>
  <si>
    <t>Winter Haven, FL</t>
  </si>
  <si>
    <t>Worcester, MA-CT</t>
  </si>
  <si>
    <t>Worcester, MA-CT Total</t>
  </si>
  <si>
    <t>York, PA</t>
  </si>
  <si>
    <t>Youngstown, OH</t>
  </si>
  <si>
    <t>Amounts Apportioned to State Governors for Urbanized Areas 50,000 to 199,999 in Population:</t>
  </si>
  <si>
    <t>Consistent with prior years, urbanized area apportionments for Section 5307 and Section 5340 are combined to show a single amount for each State or Territory.  An area's apportionment amount includes regular Section 5307 funds, Small Transit Intensive Cities funds, and Growing States and High Density States formula funds, as appropriate.</t>
  </si>
  <si>
    <t>Anniston-Oxford, AL</t>
  </si>
  <si>
    <t>Auburn, AL</t>
  </si>
  <si>
    <t>Decatur, AL</t>
  </si>
  <si>
    <t>Dothan, AL</t>
  </si>
  <si>
    <t>Fairhope-Daphne, AL</t>
  </si>
  <si>
    <t>Florence, AL</t>
  </si>
  <si>
    <t>Gadsden, AL</t>
  </si>
  <si>
    <t>Tuscaloosa, AL</t>
  </si>
  <si>
    <t>Fairbanks, AK</t>
  </si>
  <si>
    <t>Wasilla-Knik-Fairview-North Lakes, AK</t>
  </si>
  <si>
    <t>Bullhead City, AZ-NV</t>
  </si>
  <si>
    <t>Casa Grande, AZ</t>
  </si>
  <si>
    <t>Flagstaff, AZ</t>
  </si>
  <si>
    <t>Lake Havasu City, AZ</t>
  </si>
  <si>
    <t>Maricopa, AZ</t>
  </si>
  <si>
    <t>Prescott-Prescott Valley, AZ</t>
  </si>
  <si>
    <t>Sierra Vista, AZ</t>
  </si>
  <si>
    <t>Yuma, AZ-CA</t>
  </si>
  <si>
    <t>Conway, AR</t>
  </si>
  <si>
    <t>Fort Smith, AR-OK</t>
  </si>
  <si>
    <t>Hot Springs, AR</t>
  </si>
  <si>
    <t>Jonesboro, AR</t>
  </si>
  <si>
    <t>Texarkana, TX-AR</t>
  </si>
  <si>
    <t>Arroyo Grande-Grover Beach-Pismo Beach, CA</t>
  </si>
  <si>
    <t>Camarillo, CA</t>
  </si>
  <si>
    <t>Chico, CA</t>
  </si>
  <si>
    <t>Davis, CA</t>
  </si>
  <si>
    <t>El Centro, CA</t>
  </si>
  <si>
    <t>El Paso de Robles (Paso Robles)-Atascadero, CA</t>
  </si>
  <si>
    <t>Fairfield, CA</t>
  </si>
  <si>
    <t>Gilroy-Morgan Hill, CA</t>
  </si>
  <si>
    <t>Hanford, CA</t>
  </si>
  <si>
    <t>Hemet, CA</t>
  </si>
  <si>
    <t>Lodi, CA</t>
  </si>
  <si>
    <t>Lompoc, CA</t>
  </si>
  <si>
    <t>Madera, CA</t>
  </si>
  <si>
    <t>Manteca, CA</t>
  </si>
  <si>
    <t>Merced, CA</t>
  </si>
  <si>
    <t>Napa, CA</t>
  </si>
  <si>
    <t>Petaluma, CA</t>
  </si>
  <si>
    <t>Porterville, CA</t>
  </si>
  <si>
    <t>Redding, CA</t>
  </si>
  <si>
    <t>Salinas, CA</t>
  </si>
  <si>
    <t>San Luis Obispo, CA</t>
  </si>
  <si>
    <t>Santa Cruz, CA</t>
  </si>
  <si>
    <t>Santa Maria, CA</t>
  </si>
  <si>
    <t>Seaside-Monterey-Pacific Grove, CA</t>
  </si>
  <si>
    <t>Simi Valley, CA</t>
  </si>
  <si>
    <t>Tracy-Mountain House, CA</t>
  </si>
  <si>
    <t>Tulare, CA</t>
  </si>
  <si>
    <t>Turlock, CA</t>
  </si>
  <si>
    <t>Vacaville, CA</t>
  </si>
  <si>
    <t>Vallejo, CA</t>
  </si>
  <si>
    <t>Visalia, CA</t>
  </si>
  <si>
    <t>Watsonville, CA</t>
  </si>
  <si>
    <t>Woodland, CA</t>
  </si>
  <si>
    <t>Yuba City, CA</t>
  </si>
  <si>
    <t>Boulder, CO</t>
  </si>
  <si>
    <t>Castle Rock, CO</t>
  </si>
  <si>
    <t>Grand Junction, CO</t>
  </si>
  <si>
    <t>Greeley, CO</t>
  </si>
  <si>
    <t>Lafayette-Erie-Louisville, CO</t>
  </si>
  <si>
    <t>Longmont, CO</t>
  </si>
  <si>
    <t>Pueblo, CO</t>
  </si>
  <si>
    <t>Danbury, CT-NY</t>
  </si>
  <si>
    <t>Norwich-New London, CT</t>
  </si>
  <si>
    <t>Waterbury, CT</t>
  </si>
  <si>
    <t>Dover, DE</t>
  </si>
  <si>
    <t>Salisbury, MD-DE</t>
  </si>
  <si>
    <t>Beverly Hills-Homosassa Springs-Pine Ridge, FL</t>
  </si>
  <si>
    <t>Fernandina Beach-Yulee, FL</t>
  </si>
  <si>
    <t>Four Corners, FL</t>
  </si>
  <si>
    <t>Leesburg-Eustis-Tavares, FL</t>
  </si>
  <si>
    <t>Ocala, FL</t>
  </si>
  <si>
    <t>Panama City-Panama City Beach, FL</t>
  </si>
  <si>
    <t>Poinciana, FL</t>
  </si>
  <si>
    <t>Port Charlotte-North Port, FL</t>
  </si>
  <si>
    <t>Sebring-Avon Park, FL</t>
  </si>
  <si>
    <t>Spring Hill, FL</t>
  </si>
  <si>
    <t>St. Augustine, FL</t>
  </si>
  <si>
    <t>The Villages-Lady Lake, FL</t>
  </si>
  <si>
    <t>Titusville, FL</t>
  </si>
  <si>
    <t>Vero Beach-Sebastian, FL</t>
  </si>
  <si>
    <t>Zephyrhills, FL</t>
  </si>
  <si>
    <t>Albany, GA</t>
  </si>
  <si>
    <t>Athens-Clarke County, GA</t>
  </si>
  <si>
    <t>Brunswick-St. Simons, GA</t>
  </si>
  <si>
    <t>Cartersville, GA</t>
  </si>
  <si>
    <t>Dalton, GA</t>
  </si>
  <si>
    <t>Gainesville, GA</t>
  </si>
  <si>
    <t>Hinesville, GA</t>
  </si>
  <si>
    <t>Macon-Bibb County, GA</t>
  </si>
  <si>
    <t>Rome, GA</t>
  </si>
  <si>
    <t>Valdosta, GA</t>
  </si>
  <si>
    <t>Warner Robins, GA</t>
  </si>
  <si>
    <t>Winder, GA</t>
  </si>
  <si>
    <t>Dededo-Apotgan-Tamuning, GU</t>
  </si>
  <si>
    <t>Guam</t>
  </si>
  <si>
    <t>Kahului-Wailuku, HI</t>
  </si>
  <si>
    <t>Kailua (Honolulu County)-Kaneohe, HI</t>
  </si>
  <si>
    <t>Coeur d'Alene, ID</t>
  </si>
  <si>
    <t>Idaho Falls, ID</t>
  </si>
  <si>
    <t>Lewiston, ID-WA</t>
  </si>
  <si>
    <t>Nampa, ID</t>
  </si>
  <si>
    <t>Pocatello, ID</t>
  </si>
  <si>
    <t>Twin Falls, ID</t>
  </si>
  <si>
    <t>Alton, IL</t>
  </si>
  <si>
    <t>Beloit, WI-IL</t>
  </si>
  <si>
    <t>Bloomington-Normal, IL</t>
  </si>
  <si>
    <t>Cape Girardeau, MO-IL</t>
  </si>
  <si>
    <t>Champaign, IL</t>
  </si>
  <si>
    <t>Decatur, IL</t>
  </si>
  <si>
    <t>DeKalb, IL</t>
  </si>
  <si>
    <t>Dubuque, IA-IL</t>
  </si>
  <si>
    <t>Kankakee, IL</t>
  </si>
  <si>
    <t>Paducah, KY-IL</t>
  </si>
  <si>
    <t>Springfield, IL</t>
  </si>
  <si>
    <t>Anderson, IN</t>
  </si>
  <si>
    <t>Bloomington, IN</t>
  </si>
  <si>
    <t>Columbus, IN</t>
  </si>
  <si>
    <t>Elkhart, IN-MI</t>
  </si>
  <si>
    <t>Kokomo, IN</t>
  </si>
  <si>
    <t>Lafayette, IN</t>
  </si>
  <si>
    <t>Michigan City-La Porte, IN-MI</t>
  </si>
  <si>
    <t>Muncie, IN</t>
  </si>
  <si>
    <t>Terre Haute, IN</t>
  </si>
  <si>
    <t>Valparaiso-Shorewood Forest, IN</t>
  </si>
  <si>
    <t>Ames, IA</t>
  </si>
  <si>
    <t>Cedar Rapids, IA</t>
  </si>
  <si>
    <t>Iowa City, IA</t>
  </si>
  <si>
    <t>Sioux City, IA-NE-SD</t>
  </si>
  <si>
    <t>Waterloo, IA</t>
  </si>
  <si>
    <t>Lawrence, KS</t>
  </si>
  <si>
    <t>Manhattan, KS</t>
  </si>
  <si>
    <t>St. Joseph, MO-KS</t>
  </si>
  <si>
    <t>Topeka, KS</t>
  </si>
  <si>
    <t>Bowling Green, KY</t>
  </si>
  <si>
    <t>Elizabethtown-Radcliff, KY</t>
  </si>
  <si>
    <t>Owensboro, KY</t>
  </si>
  <si>
    <t>Alexandria, LA</t>
  </si>
  <si>
    <t>Hammond, LA</t>
  </si>
  <si>
    <t>Houma, LA</t>
  </si>
  <si>
    <t>Lake Charles, LA</t>
  </si>
  <si>
    <t>Mandeville-Covington, LA</t>
  </si>
  <si>
    <t>Monroe, LA</t>
  </si>
  <si>
    <t>Slidell, LA</t>
  </si>
  <si>
    <t>Bangor, ME</t>
  </si>
  <si>
    <t>Dover-Rochester, NH-ME</t>
  </si>
  <si>
    <t>Lewiston, ME</t>
  </si>
  <si>
    <t>Portsmouth, NH-ME</t>
  </si>
  <si>
    <t>Frederick, MD</t>
  </si>
  <si>
    <t>Hagerstown, MD-WV-PA-VA</t>
  </si>
  <si>
    <t>Lexington Park-California-Chesapeake Ranch Estates, MD</t>
  </si>
  <si>
    <t>Waldorf, MD</t>
  </si>
  <si>
    <t>Amherst Town-Northampton-Easthampton Town, MA</t>
  </si>
  <si>
    <t>Leominster-Fitchburg, MA</t>
  </si>
  <si>
    <t>New Bedford, MA</t>
  </si>
  <si>
    <t>Pittsfield, MA</t>
  </si>
  <si>
    <t>Battle Creek, MI</t>
  </si>
  <si>
    <t>Bay City, MI</t>
  </si>
  <si>
    <t>Benton Harbor-Lincoln-St. Joseph, MI</t>
  </si>
  <si>
    <t>Holland, MI</t>
  </si>
  <si>
    <t>Jackson, MI</t>
  </si>
  <si>
    <t>Midland, MI</t>
  </si>
  <si>
    <t>Monroe, MI</t>
  </si>
  <si>
    <t>Muskegon-Norton Shores, MI</t>
  </si>
  <si>
    <t>Port Huron, MI</t>
  </si>
  <si>
    <t>Saginaw, MI</t>
  </si>
  <si>
    <t>South Lyon-Hamburg-Genoa, MI</t>
  </si>
  <si>
    <t>Traverse City-Garfield, MI</t>
  </si>
  <si>
    <t>Duluth, MN-WI</t>
  </si>
  <si>
    <t>Grand Forks, ND-MN</t>
  </si>
  <si>
    <t>La Crosse, WI-MN</t>
  </si>
  <si>
    <t>Mankato, MN</t>
  </si>
  <si>
    <t>Rochester, MN</t>
  </si>
  <si>
    <t>St. Cloud, MN</t>
  </si>
  <si>
    <t>Hattiesburg, MS</t>
  </si>
  <si>
    <t>Pascagoula-Gautier, MS</t>
  </si>
  <si>
    <t>Columbia, MO</t>
  </si>
  <si>
    <t>Jefferson City, MO</t>
  </si>
  <si>
    <t>Joplin, MO</t>
  </si>
  <si>
    <t>Lee's Summit, MO</t>
  </si>
  <si>
    <t>Billings, MT</t>
  </si>
  <si>
    <t>Montana</t>
  </si>
  <si>
    <t>Bozeman, MT</t>
  </si>
  <si>
    <t>Great Falls, MT</t>
  </si>
  <si>
    <t>Helena, MT</t>
  </si>
  <si>
    <t>Missoula, MT</t>
  </si>
  <si>
    <t>Grand Island, NE</t>
  </si>
  <si>
    <t>Carson City, NV</t>
  </si>
  <si>
    <t>Manchester, NH</t>
  </si>
  <si>
    <t>Vineland, NJ</t>
  </si>
  <si>
    <t>Farmington, NM</t>
  </si>
  <si>
    <t>Las Cruces, NM</t>
  </si>
  <si>
    <t>Los Lunas, NM</t>
  </si>
  <si>
    <t>Santa Fe, NM</t>
  </si>
  <si>
    <t>Binghamton, NY</t>
  </si>
  <si>
    <t>Elmira, NY</t>
  </si>
  <si>
    <t>Glens Falls, NY</t>
  </si>
  <si>
    <t>Ithaca, NY</t>
  </si>
  <si>
    <t>Kingston, NY</t>
  </si>
  <si>
    <t>Kiryas Joel, NY</t>
  </si>
  <si>
    <t>Middletown, NY</t>
  </si>
  <si>
    <t>Riverhead-Southold, NY</t>
  </si>
  <si>
    <t>Saratoga Springs, NY</t>
  </si>
  <si>
    <t>Utica, NY</t>
  </si>
  <si>
    <t>Watertown, NY</t>
  </si>
  <si>
    <t>Burlington, NC</t>
  </si>
  <si>
    <t>Clayton, NC</t>
  </si>
  <si>
    <t>Gastonia, NC</t>
  </si>
  <si>
    <t>Goldsboro, NC</t>
  </si>
  <si>
    <t>Greenville, NC</t>
  </si>
  <si>
    <t>High Point, NC</t>
  </si>
  <si>
    <t>Jacksonville, NC</t>
  </si>
  <si>
    <t>Pinehurst-Southern Pines, NC</t>
  </si>
  <si>
    <t>Rocky Mount, NC</t>
  </si>
  <si>
    <t>Bismarck, ND</t>
  </si>
  <si>
    <t>Minot, ND</t>
  </si>
  <si>
    <t>Lima, OH</t>
  </si>
  <si>
    <t>Lorain-Elyria, OH</t>
  </si>
  <si>
    <t>Mansfield, OH</t>
  </si>
  <si>
    <t>Middletown, OH</t>
  </si>
  <si>
    <t>Newark, OH</t>
  </si>
  <si>
    <t>Parkersburg, WV-OH</t>
  </si>
  <si>
    <t>Sandusky-Port Clinton, OH</t>
  </si>
  <si>
    <t>Springfield, OH</t>
  </si>
  <si>
    <t>Steubenville-Weirton, OH-WV-PA</t>
  </si>
  <si>
    <t>Wheeling, WV-OH</t>
  </si>
  <si>
    <t>Enid, OK</t>
  </si>
  <si>
    <t>Lawton, OK</t>
  </si>
  <si>
    <t>Norman, OK</t>
  </si>
  <si>
    <t>Albany, OR</t>
  </si>
  <si>
    <t>Bend, OR</t>
  </si>
  <si>
    <t>Corvallis, OR</t>
  </si>
  <si>
    <t>Grants Pass, OR</t>
  </si>
  <si>
    <t>Longview, WA-OR</t>
  </si>
  <si>
    <t>Medford, OR</t>
  </si>
  <si>
    <t>Walla Walla, WA-OR</t>
  </si>
  <si>
    <t>Altoona, PA</t>
  </si>
  <si>
    <t>Chambersburg, PA</t>
  </si>
  <si>
    <t>Erie, PA</t>
  </si>
  <si>
    <t>Hanover, PA</t>
  </si>
  <si>
    <t>Hazleton, PA</t>
  </si>
  <si>
    <t>Johnstown, PA</t>
  </si>
  <si>
    <t>Lebanon, PA</t>
  </si>
  <si>
    <t>State College, PA</t>
  </si>
  <si>
    <t>Williamsport, PA</t>
  </si>
  <si>
    <t>Arecibo, PR</t>
  </si>
  <si>
    <t>Barceloneta-Florida-Bajadero, PR</t>
  </si>
  <si>
    <t>Fajardo, PR</t>
  </si>
  <si>
    <t>Guayama, PR</t>
  </si>
  <si>
    <t>Juana Díaz, PR</t>
  </si>
  <si>
    <t>Mayagüez, PR</t>
  </si>
  <si>
    <t>Ponce, PR</t>
  </si>
  <si>
    <t>San Germán-Cabo Rojo-Sabana Grande, PR</t>
  </si>
  <si>
    <t>Yauco, PR</t>
  </si>
  <si>
    <t>Anderson-Clemson, SC</t>
  </si>
  <si>
    <t>Beaufort-Port Royal, SC</t>
  </si>
  <si>
    <t>Bluffton East-Hilton Head Island, SC</t>
  </si>
  <si>
    <t>Florence, SC</t>
  </si>
  <si>
    <t>Mauldin-Simpsonville, SC</t>
  </si>
  <si>
    <t>Spartanburg, SC</t>
  </si>
  <si>
    <t>Sumter, SC</t>
  </si>
  <si>
    <t>Rapid City, SD</t>
  </si>
  <si>
    <t>South Dakota</t>
  </si>
  <si>
    <t>Sioux Falls, SD</t>
  </si>
  <si>
    <t>Bristol, TN-VA</t>
  </si>
  <si>
    <t>Cleveland, TN</t>
  </si>
  <si>
    <t>Jackson, TN</t>
  </si>
  <si>
    <t>Johnson City, TN</t>
  </si>
  <si>
    <t>Kingsport, TN-VA</t>
  </si>
  <si>
    <t>Morristown, TN</t>
  </si>
  <si>
    <t>Murfreesboro, TN</t>
  </si>
  <si>
    <t>Spring Hill, TN</t>
  </si>
  <si>
    <t>Abilene, TX</t>
  </si>
  <si>
    <t>Beaumont, TX</t>
  </si>
  <si>
    <t>Eagle Pass, TX</t>
  </si>
  <si>
    <t>Galveston-Texas City, TX</t>
  </si>
  <si>
    <t>Harlingen, TX</t>
  </si>
  <si>
    <t>Lake Jackson, TX</t>
  </si>
  <si>
    <t>Longview, TX</t>
  </si>
  <si>
    <t>Midland, TX</t>
  </si>
  <si>
    <t>New Braunfels, TX</t>
  </si>
  <si>
    <t>Odessa, TX</t>
  </si>
  <si>
    <t>Port Arthur, TX</t>
  </si>
  <si>
    <t>San Angelo, TX</t>
  </si>
  <si>
    <t>San Marcos, TX</t>
  </si>
  <si>
    <t>Sherman-Denison, TX</t>
  </si>
  <si>
    <t>Temple, TX</t>
  </si>
  <si>
    <t>Tyler, TX</t>
  </si>
  <si>
    <t>Victoria, TX</t>
  </si>
  <si>
    <t>Waco, TX</t>
  </si>
  <si>
    <t>Wichita Falls, TX</t>
  </si>
  <si>
    <t>Logan, UT</t>
  </si>
  <si>
    <t>St. George, UT</t>
  </si>
  <si>
    <t>Burlington, VT</t>
  </si>
  <si>
    <t>Vermont</t>
  </si>
  <si>
    <t>Virgin Islands, VI</t>
  </si>
  <si>
    <t>Virgin Islands</t>
  </si>
  <si>
    <t>Blacksburg-Christiansburg, VA</t>
  </si>
  <si>
    <t>Charlottesville, VA</t>
  </si>
  <si>
    <t>Fredericksburg, VA</t>
  </si>
  <si>
    <t>Harrisonburg, VA</t>
  </si>
  <si>
    <t>Lynchburg, VA</t>
  </si>
  <si>
    <t>Staunton-Waynesboro, VA</t>
  </si>
  <si>
    <t>Williamsburg, VA</t>
  </si>
  <si>
    <t>Winchester, VA</t>
  </si>
  <si>
    <t>Bellingham, WA</t>
  </si>
  <si>
    <t>Marysville, WA</t>
  </si>
  <si>
    <t>Mount Vernon, WA</t>
  </si>
  <si>
    <t>Wenatchee, WA</t>
  </si>
  <si>
    <t>Yakima, WA</t>
  </si>
  <si>
    <t>Beckley, WV</t>
  </si>
  <si>
    <t>Charleston, WV</t>
  </si>
  <si>
    <t>Morgantown, WV</t>
  </si>
  <si>
    <t>Eau Claire, WI</t>
  </si>
  <si>
    <t>Fond du Lac, WI</t>
  </si>
  <si>
    <t>Janesville, WI</t>
  </si>
  <si>
    <t>Kenosha, WI</t>
  </si>
  <si>
    <t>Oshkosh, WI</t>
  </si>
  <si>
    <t>Racine, WI</t>
  </si>
  <si>
    <t>Sheboygan, WI</t>
  </si>
  <si>
    <t>Wausau, WI</t>
  </si>
  <si>
    <t>Casper, WY</t>
  </si>
  <si>
    <t>Wyoming</t>
  </si>
  <si>
    <t>Cheyenne, WY</t>
  </si>
  <si>
    <t>CA+CO</t>
  </si>
  <si>
    <t>CO Only</t>
  </si>
  <si>
    <t>FY24 FTA Allocation 5307</t>
  </si>
  <si>
    <t>2024 Base + Earned Allocations</t>
  </si>
  <si>
    <t>Micro + 50fx</t>
  </si>
  <si>
    <t>Miles + Ridership</t>
  </si>
  <si>
    <t>Forecasted % in 2027</t>
  </si>
  <si>
    <t>Average</t>
  </si>
  <si>
    <t>COLA to Tahoe</t>
  </si>
  <si>
    <t>Target Hourly Rate</t>
  </si>
  <si>
    <t>Cost per Hr.</t>
  </si>
  <si>
    <t>Fixed Route</t>
  </si>
  <si>
    <t>Commuter</t>
  </si>
  <si>
    <t>Grand Total Expenses</t>
  </si>
  <si>
    <t xml:space="preserve">EXAMPLE Using Proposed 2027 Forecasted Regional Model </t>
  </si>
  <si>
    <t>FY2024</t>
  </si>
  <si>
    <t>Parking Revenue</t>
  </si>
  <si>
    <t>South Lake Tahoe Portions of Route 28 Eeast Shore Express</t>
  </si>
  <si>
    <t>Route 28 = $7 oneway Fare</t>
  </si>
  <si>
    <t>Route 19</t>
  </si>
  <si>
    <t>Route 22</t>
  </si>
  <si>
    <t>Route 28</t>
  </si>
  <si>
    <t>South Lake Tahoe Portions of Route 19</t>
  </si>
  <si>
    <t>South Lake Tahoe Portions of Route 22</t>
  </si>
  <si>
    <t>Total Projected Operating Expenses (w/Routee 19)</t>
  </si>
  <si>
    <t>Total Projected Operating Expenses (w/Route 22)</t>
  </si>
  <si>
    <t>Total Projected Operating Expenses (w/Route 28)</t>
  </si>
  <si>
    <t>ROUTES 19/22, 28</t>
  </si>
  <si>
    <t xml:space="preserve"> Nevada State Funding</t>
  </si>
  <si>
    <t>Grand Total Revenue</t>
  </si>
  <si>
    <t>DRAFT</t>
  </si>
  <si>
    <t>Nevada Department of Conservation &amp; National Resources</t>
  </si>
  <si>
    <t xml:space="preserve"> FTA 5311 Allocation - Federal Apportionment through NDOT Route 19 &amp; 22</t>
  </si>
  <si>
    <t xml:space="preserve"> FTA 5307 Allocation - Federal Apportionment Allocation to Route 28</t>
  </si>
  <si>
    <t>Federal</t>
  </si>
  <si>
    <t>State of Nevada Funded - Vanpool</t>
  </si>
  <si>
    <t xml:space="preserve"> TART/Washoe Portion of Route 28 - State or local match needed</t>
  </si>
  <si>
    <t xml:space="preserve"> Douglas County/DART ((Portion of Route 22) - State or local match needed</t>
  </si>
  <si>
    <t xml:space="preserve"> Carson City (Portion of Route 19x) - State or local match needed</t>
  </si>
  <si>
    <t xml:space="preserve">  Unallocated</t>
  </si>
  <si>
    <t xml:space="preserve"> Unallocated funds</t>
  </si>
  <si>
    <t xml:space="preserve"> Unallocated 5311 FTA Allocation Available for drawdown with state or local match</t>
  </si>
  <si>
    <t>fx 19/22, 28ESxp</t>
  </si>
  <si>
    <t>Carson /JAC</t>
  </si>
  <si>
    <t xml:space="preserve">Douglas County </t>
  </si>
  <si>
    <t>Stops</t>
  </si>
  <si>
    <t>Estimated Operating Expense</t>
  </si>
  <si>
    <t xml:space="preserve">Estimated Operating Expense </t>
  </si>
  <si>
    <t>TART</t>
  </si>
  <si>
    <t>Potential Operator TART?</t>
  </si>
  <si>
    <t xml:space="preserve">JPA/City of South Lake Tahoe </t>
  </si>
  <si>
    <t>Share</t>
  </si>
  <si>
    <t>State/Local</t>
  </si>
  <si>
    <t>Federal 5311</t>
  </si>
  <si>
    <t>Federal 5307</t>
  </si>
  <si>
    <t>Vanpool Option for Route 19/22</t>
  </si>
  <si>
    <t>Potential Operator JAC/Douglas County</t>
  </si>
  <si>
    <t>Potential Operator = JAC/Douglas County</t>
  </si>
  <si>
    <t>Potential Operators = JAC/Douglas County/JPA</t>
  </si>
  <si>
    <t>Route 19X Interlined Fare = Proposed $7 oneway fare (local) $ 15 Regional?</t>
  </si>
  <si>
    <t>Route 22 Interlined Fare = Proposed $7 oneway fare (local) $ 15 Regional?</t>
  </si>
  <si>
    <t>Fare</t>
  </si>
  <si>
    <t>VRH Rates</t>
  </si>
  <si>
    <t>Microtransit</t>
  </si>
  <si>
    <t>Fixed Route Bus</t>
  </si>
  <si>
    <t>Nonpeak days Sunday - Thursday</t>
  </si>
  <si>
    <t xml:space="preserve">PEAK VEHICLE DEMAND </t>
  </si>
  <si>
    <t>Regional fx</t>
  </si>
  <si>
    <t>unallocated funds/shorfall</t>
  </si>
  <si>
    <t>fx 28 East Shore Express</t>
  </si>
  <si>
    <t>need to address local match for route 19/22, 28 Urban UZA vs Rural</t>
  </si>
  <si>
    <t>STILL NEED TO DEFINE CAPITAL DECISION MAKING MODEL</t>
  </si>
  <si>
    <t>Proposed date for transition of operations = October 1, 2026</t>
  </si>
  <si>
    <t xml:space="preserve">The model uses 2.5% annual escalation for most expenses </t>
  </si>
  <si>
    <t>This workbook provides examples and a working draft 5-year financial model as an attempt to tie operating decisions to return on investment</t>
  </si>
  <si>
    <t>It is intended to facilitate further discussions and collaberative input regarding sources and uses of funding streams</t>
  </si>
  <si>
    <t>Certain categorizations have been made to illustrate how funding may be apportioned in the future</t>
  </si>
  <si>
    <t>Recreational</t>
  </si>
  <si>
    <r>
      <rPr>
        <b/>
        <sz val="26"/>
        <color theme="8" tint="-0.249977111117893"/>
        <rFont val="Calibri"/>
        <family val="2"/>
        <scheme val="minor"/>
      </rPr>
      <t>EXAMPLE 5 YEAR FINANCIAL MODEL</t>
    </r>
    <r>
      <rPr>
        <b/>
        <sz val="26"/>
        <color theme="4"/>
        <rFont val="Calibri"/>
        <family val="2"/>
        <scheme val="minor"/>
      </rPr>
      <t xml:space="preserve">  - Operating</t>
    </r>
  </si>
  <si>
    <t xml:space="preserve">Regional comps suggest a targeted cost of $96-$183 per VRH for fixed route services </t>
  </si>
  <si>
    <t>Nonpeak hrs</t>
  </si>
  <si>
    <t>Peak hrs</t>
  </si>
  <si>
    <t>Total Service Hours - by hour of the day</t>
  </si>
  <si>
    <t>Zone 1 -5 TOTAL</t>
  </si>
  <si>
    <t>Weekly Hours</t>
  </si>
  <si>
    <t>Fixed Route 19/22 Interlined</t>
  </si>
  <si>
    <t>Fixed Route 28 East Shore Express</t>
  </si>
  <si>
    <t xml:space="preserve">fx 50 </t>
  </si>
  <si>
    <t xml:space="preserve">Local </t>
  </si>
  <si>
    <t>Meyers</t>
  </si>
  <si>
    <t>Micro Urban</t>
  </si>
  <si>
    <t>Recreation</t>
  </si>
  <si>
    <t>Micro Meyers</t>
  </si>
  <si>
    <t>Vanpools = Alternate to Route 19 &amp; 22 cost shown in addition to fixed routs 19/22 for modeling</t>
  </si>
  <si>
    <t>All information presented is for illustrative purposes - No recommendation or decisions are to be made from this draft model without further validation</t>
  </si>
  <si>
    <t>Validation and collaboration is needed to refine all data</t>
  </si>
  <si>
    <t>The workbook is designed to allow for incremental progress and adjustments as various options are executed to improve the accurace of the workbook</t>
  </si>
  <si>
    <t>Route 50 - Y to Kingsbury</t>
  </si>
  <si>
    <t>fx +micro</t>
  </si>
  <si>
    <t>Route 50 + Micro</t>
  </si>
  <si>
    <t>Routes 19,22,28 + VP</t>
  </si>
  <si>
    <t>Vanpool (VP)</t>
  </si>
  <si>
    <t>19/22+28+VP</t>
  </si>
  <si>
    <t>Projected Passengers Per Revenue Hour</t>
  </si>
  <si>
    <t>Estimated Miles Per Vehicle Revenue Hour</t>
  </si>
  <si>
    <t xml:space="preserve">Microtransit </t>
  </si>
  <si>
    <t>Fx</t>
  </si>
  <si>
    <t>National and regional comps support the use of $175 per VRH for fixed route services as a target</t>
  </si>
  <si>
    <t>DRAFT SRTP used as a source of information</t>
  </si>
  <si>
    <t>Determine equitable cost and revenue split for services connnecting multiple regional destination cities based on benefits to each jursidication. What is the ROI?</t>
  </si>
  <si>
    <t xml:space="preserve">Determine best service type: Commuter bus, Urban Commuter Bus, Cutaway, Light Duty Van, Vanpool </t>
  </si>
  <si>
    <t>Determine best operator to deliver the service and develop IGSA bewteen stakeholers directly benefiting from the service</t>
  </si>
  <si>
    <t>Fixed Route and Vanpool</t>
  </si>
  <si>
    <t>Total all Modes</t>
  </si>
  <si>
    <t>Three tabs to focus on: Operating Tab, FY27 Financial Forecast, FTA FY27 Financial Forecast Sub Allocation Example</t>
  </si>
  <si>
    <t>It is important for the user of this the workbook is not complete as key cost share, service type, and revenue share assumptions need to be defined and agreed upon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</si>
</sst>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5" formatCode="&quot;$&quot;#,##0_);\(&quot;$&quot;#,##0\)"/>
    <numFmt numFmtId="6" formatCode="&quot;$&quot;#,##0_);[Red]\(&quot;$&quot;#,##0\)"/>
    <numFmt numFmtId="8" formatCode="&quot;$&quot;#,##0.00_);[Red]\(&quot;$&quot;#,##0.00\)"/>
    <numFmt numFmtId="42" formatCode="_(&quot;$&quot;* #,##0_);_(&quot;$&quot;* \(#,##0\);_(&quot;$&quot;* &quot;-&quot;_);_(@_)"/>
    <numFmt numFmtId="44" formatCode="_(&quot;$&quot;* #,##0.00_);_(&quot;$&quot;* \(#,##0.00\);_(&quot;$&quot;* &quot;-&quot;??_);_(@_)"/>
    <numFmt numFmtId="43" formatCode="_(* #,##0.00_);_(* \(#,##0.00\);_(* &quot;-&quot;??_);_(@_)"/>
    <numFmt numFmtId="164" formatCode="_(&quot;$&quot;* #,##0_);_(&quot;$&quot;* \(#,##0\);_(&quot;$&quot;* &quot;-&quot;??_);_(@_)"/>
    <numFmt numFmtId="165" formatCode="_(* #,##0.0_);_(* \(#,##0.0\);_(* &quot;-&quot;??_);_(@_)"/>
    <numFmt numFmtId="166" formatCode="_(* #,##0_);_(* \(#,##0\);_(* &quot;-&quot;??_);_(@_)"/>
    <numFmt numFmtId="167" formatCode="_(* #,##0.000_);_(* \(#,##0.000\);_(* &quot;-&quot;??_);_(@_)"/>
    <numFmt numFmtId="168" formatCode="_(&quot;$&quot;* #,##0.000_);_(&quot;$&quot;* \(#,##0.000\);_(&quot;$&quot;* &quot;-&quot;??_);_(@_)"/>
    <numFmt numFmtId="169" formatCode="&quot;$&quot;#,##0.00"/>
    <numFmt numFmtId="170" formatCode="&quot;$&quot;#,##0"/>
    <numFmt numFmtId="171" formatCode="_([$$-409]* #,##0_);_([$$-409]* \(#,##0\);_([$$-409]* &quot;-&quot;??_);_(@_)"/>
    <numFmt numFmtId="172" formatCode="_([$$-409]* #,##0.00_);_([$$-409]* \(#,##0.00\);_([$$-409]* &quot;-&quot;??_);_(@_)"/>
    <numFmt numFmtId="173" formatCode="_([$$-409]* #,##0_);_([$$-409]* \(#,##0\);_([$$-409]* &quot;-&quot;_);_(@_)"/>
    <numFmt numFmtId="174" formatCode="0.0000%"/>
    <numFmt numFmtId="175" formatCode="0.000%"/>
    <numFmt numFmtId="176" formatCode="m/d/yy;@"/>
    <numFmt numFmtId="177" formatCode="[$$-409]#,##0_);[Red]\([$$-409]#,##0\)"/>
    <numFmt numFmtId="178" formatCode="_(* #,##0_);_(* \(#,##0\);_(* &quot;-&quot;?_);_(@_)"/>
    <numFmt numFmtId="179" formatCode="_(&quot;$&quot;* #,##0.0_);_(&quot;$&quot;* \(#,##0.0\);_(&quot;$&quot;* &quot;-&quot;??_);_(@_)"/>
    <numFmt numFmtId="180" formatCode="[$$-409]#,##0_);\([$$-409]#,##0\)"/>
    <numFmt numFmtId="181" formatCode="0.0%"/>
  </numFmts>
  <fonts count="9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b/>
      <sz val="14"/>
      <color theme="1"/>
      <name val="Calibri"/>
      <family val="2"/>
      <scheme val="minor"/>
    </font>
    <font>
      <b/>
      <sz val="8"/>
      <color theme="1"/>
      <name val="Calibri"/>
      <family val="2"/>
      <scheme val="minor"/>
    </font>
    <font>
      <sz val="11"/>
      <name val="Calibri"/>
      <family val="2"/>
      <scheme val="minor"/>
    </font>
    <font>
      <sz val="10"/>
      <color rgb="FFFF0000"/>
      <name val="Calibri"/>
      <family val="2"/>
      <scheme val="minor"/>
    </font>
    <font>
      <sz val="22"/>
      <color theme="1"/>
      <name val="Calibri"/>
      <family val="2"/>
      <scheme val="minor"/>
    </font>
    <font>
      <b/>
      <sz val="22"/>
      <color theme="1"/>
      <name val="Calibri"/>
      <family val="2"/>
      <scheme val="minor"/>
    </font>
    <font>
      <b/>
      <sz val="10"/>
      <name val="Calibri"/>
      <family val="2"/>
      <scheme val="minor"/>
    </font>
    <font>
      <sz val="10"/>
      <name val="Calibri"/>
      <family val="2"/>
      <scheme val="minor"/>
    </font>
    <font>
      <b/>
      <sz val="10"/>
      <color rgb="FFFF0000"/>
      <name val="Calibri"/>
      <family val="2"/>
      <scheme val="minor"/>
    </font>
    <font>
      <b/>
      <sz val="11"/>
      <color rgb="FFFF0000"/>
      <name val="Calibri"/>
      <family val="2"/>
      <scheme val="minor"/>
    </font>
    <font>
      <sz val="11"/>
      <color rgb="FFFF0000"/>
      <name val="Calibri"/>
      <family val="2"/>
      <scheme val="minor"/>
    </font>
    <font>
      <sz val="11"/>
      <color rgb="FF000000"/>
      <name val="Calibri"/>
      <family val="2"/>
      <scheme val="minor"/>
    </font>
    <font>
      <sz val="8"/>
      <color theme="1"/>
      <name val="Calibri"/>
      <family val="2"/>
      <scheme val="minor"/>
    </font>
    <font>
      <b/>
      <sz val="11"/>
      <name val="Calibri"/>
      <family val="2"/>
      <scheme val="minor"/>
    </font>
    <font>
      <sz val="10"/>
      <color indexed="8"/>
      <name val="Arial"/>
      <family val="2"/>
    </font>
    <font>
      <b/>
      <sz val="12"/>
      <name val="Arial"/>
      <family val="2"/>
    </font>
    <font>
      <i/>
      <sz val="11"/>
      <name val="Arial"/>
      <family val="2"/>
    </font>
    <font>
      <b/>
      <i/>
      <u/>
      <sz val="14"/>
      <color rgb="FF000000"/>
      <name val="Calibri"/>
      <family val="2"/>
    </font>
    <font>
      <i/>
      <sz val="12"/>
      <color theme="1"/>
      <name val="Calibri"/>
      <family val="2"/>
      <scheme val="minor"/>
    </font>
    <font>
      <i/>
      <u/>
      <sz val="12"/>
      <color theme="1"/>
      <name val="Calibri"/>
      <family val="2"/>
      <scheme val="minor"/>
    </font>
    <font>
      <b/>
      <i/>
      <sz val="12"/>
      <color theme="1"/>
      <name val="Calibri"/>
      <family val="2"/>
      <scheme val="minor"/>
    </font>
    <font>
      <i/>
      <sz val="11"/>
      <color theme="1"/>
      <name val="Calibri"/>
      <family val="2"/>
      <scheme val="minor"/>
    </font>
    <font>
      <sz val="12"/>
      <color theme="1"/>
      <name val="Calibri"/>
      <family val="2"/>
      <scheme val="minor"/>
    </font>
    <font>
      <b/>
      <sz val="8"/>
      <color rgb="FF000000"/>
      <name val="Calibri"/>
      <family val="2"/>
    </font>
    <font>
      <sz val="8"/>
      <color rgb="FF000000"/>
      <name val="Calibri"/>
      <family val="2"/>
    </font>
    <font>
      <u/>
      <sz val="11"/>
      <color theme="10"/>
      <name val="Calibri"/>
      <family val="2"/>
      <scheme val="minor"/>
    </font>
    <font>
      <b/>
      <sz val="11"/>
      <color theme="0"/>
      <name val="Calibri"/>
      <family val="2"/>
      <scheme val="minor"/>
    </font>
    <font>
      <sz val="11"/>
      <color theme="1"/>
      <name val="Calibri"/>
      <family val="2"/>
    </font>
    <font>
      <b/>
      <sz val="11"/>
      <color rgb="FF000000"/>
      <name val="Calibri"/>
      <family val="2"/>
    </font>
    <font>
      <sz val="9"/>
      <color rgb="FF000000"/>
      <name val="Calibri"/>
      <family val="2"/>
    </font>
    <font>
      <sz val="11"/>
      <name val="Calibri"/>
      <family val="2"/>
    </font>
    <font>
      <b/>
      <sz val="11"/>
      <name val="Calibri"/>
      <family val="2"/>
    </font>
    <font>
      <u/>
      <sz val="11"/>
      <color rgb="FF0563C1"/>
      <name val="Calibri"/>
      <family val="2"/>
    </font>
    <font>
      <sz val="11"/>
      <color rgb="FFFF0000"/>
      <name val="Calibri"/>
      <family val="2"/>
    </font>
    <font>
      <b/>
      <sz val="11"/>
      <color theme="1"/>
      <name val="Calibri"/>
      <family val="2"/>
    </font>
    <font>
      <b/>
      <sz val="14"/>
      <color theme="4"/>
      <name val="Calibri"/>
      <family val="2"/>
      <scheme val="minor"/>
    </font>
    <font>
      <b/>
      <sz val="11"/>
      <color theme="8" tint="-0.249977111117893"/>
      <name val="Calibri"/>
      <family val="2"/>
      <scheme val="minor"/>
    </font>
    <font>
      <sz val="16"/>
      <color theme="1"/>
      <name val="Calibri"/>
      <family val="2"/>
      <scheme val="minor"/>
    </font>
    <font>
      <b/>
      <sz val="16"/>
      <color theme="4"/>
      <name val="Calibri"/>
      <family val="2"/>
      <scheme val="minor"/>
    </font>
    <font>
      <b/>
      <sz val="16"/>
      <color theme="0"/>
      <name val="Calibri"/>
      <family val="2"/>
      <scheme val="minor"/>
    </font>
    <font>
      <sz val="14"/>
      <color theme="1"/>
      <name val="Calibri"/>
      <family val="2"/>
      <scheme val="minor"/>
    </font>
    <font>
      <b/>
      <sz val="14"/>
      <color theme="8" tint="-0.249977111117893"/>
      <name val="Calibri"/>
      <family val="2"/>
      <scheme val="minor"/>
    </font>
    <font>
      <b/>
      <sz val="18"/>
      <color theme="4"/>
      <name val="Calibri"/>
      <family val="2"/>
      <scheme val="minor"/>
    </font>
    <font>
      <sz val="14"/>
      <color rgb="FFFF0000"/>
      <name val="Calibri"/>
      <family val="2"/>
      <scheme val="minor"/>
    </font>
    <font>
      <u/>
      <sz val="14"/>
      <color theme="10"/>
      <name val="Calibri"/>
      <family val="2"/>
      <scheme val="minor"/>
    </font>
    <font>
      <b/>
      <sz val="14"/>
      <name val="Calibri"/>
      <family val="2"/>
      <scheme val="minor"/>
    </font>
    <font>
      <sz val="14"/>
      <name val="Calibri"/>
      <family val="2"/>
      <scheme val="minor"/>
    </font>
    <font>
      <sz val="18"/>
      <color theme="1"/>
      <name val="Calibri"/>
      <family val="2"/>
      <scheme val="minor"/>
    </font>
    <font>
      <b/>
      <sz val="18"/>
      <color theme="1"/>
      <name val="Calibri"/>
      <family val="2"/>
      <scheme val="minor"/>
    </font>
    <font>
      <b/>
      <sz val="16"/>
      <color rgb="FFFF0000"/>
      <name val="Calibri"/>
      <family val="2"/>
      <scheme val="minor"/>
    </font>
    <font>
      <b/>
      <sz val="14"/>
      <color rgb="FFFF0000"/>
      <name val="Calibri"/>
      <family val="2"/>
      <scheme val="minor"/>
    </font>
    <font>
      <b/>
      <sz val="18"/>
      <color rgb="FFFF0000"/>
      <name val="Calibri"/>
      <family val="2"/>
      <scheme val="minor"/>
    </font>
    <font>
      <sz val="9"/>
      <color theme="1"/>
      <name val="Calibri"/>
      <family val="2"/>
      <scheme val="minor"/>
    </font>
    <font>
      <b/>
      <sz val="14"/>
      <color theme="0"/>
      <name val="Calibri"/>
      <family val="2"/>
      <scheme val="minor"/>
    </font>
    <font>
      <sz val="11"/>
      <color theme="8" tint="-0.249977111117893"/>
      <name val="Calibri"/>
      <family val="2"/>
      <scheme val="minor"/>
    </font>
    <font>
      <b/>
      <sz val="16"/>
      <name val="Calibri"/>
      <family val="2"/>
      <scheme val="minor"/>
    </font>
    <font>
      <b/>
      <sz val="14"/>
      <name val="Arial"/>
      <family val="2"/>
    </font>
    <font>
      <sz val="10"/>
      <name val="Arial"/>
      <family val="2"/>
    </font>
    <font>
      <i/>
      <sz val="10"/>
      <name val="Arial"/>
      <family val="2"/>
    </font>
    <font>
      <b/>
      <i/>
      <sz val="10"/>
      <name val="Arial"/>
      <family val="2"/>
    </font>
    <font>
      <b/>
      <sz val="10"/>
      <name val="Arial"/>
      <family val="2"/>
    </font>
    <font>
      <b/>
      <sz val="12"/>
      <name val="Times New Roman"/>
      <family val="1"/>
    </font>
    <font>
      <sz val="6"/>
      <name val="Arial"/>
      <family val="2"/>
    </font>
    <font>
      <sz val="12"/>
      <name val="Arial"/>
      <family val="2"/>
    </font>
    <font>
      <sz val="8"/>
      <name val="Arial"/>
      <family val="2"/>
    </font>
    <font>
      <b/>
      <i/>
      <sz val="14"/>
      <name val="Times New Roman"/>
      <family val="1"/>
    </font>
    <font>
      <b/>
      <sz val="11"/>
      <color theme="1"/>
      <name val="Arial"/>
      <family val="2"/>
    </font>
    <font>
      <sz val="11"/>
      <color theme="1"/>
      <name val="Arial"/>
      <family val="2"/>
    </font>
    <font>
      <b/>
      <sz val="11"/>
      <name val="Arial"/>
      <family val="2"/>
    </font>
    <font>
      <b/>
      <sz val="11"/>
      <color indexed="8"/>
      <name val="Arial"/>
      <family val="2"/>
    </font>
    <font>
      <b/>
      <sz val="9"/>
      <color theme="0"/>
      <name val="Calibri"/>
      <family val="2"/>
      <scheme val="minor"/>
    </font>
    <font>
      <b/>
      <sz val="9"/>
      <color theme="1"/>
      <name val="Calibri"/>
      <family val="2"/>
      <scheme val="minor"/>
    </font>
    <font>
      <sz val="36"/>
      <color theme="1"/>
      <name val="Calibri"/>
      <family val="2"/>
      <scheme val="minor"/>
    </font>
    <font>
      <sz val="48"/>
      <color rgb="FFC00000"/>
      <name val="Calibri"/>
      <family val="2"/>
      <scheme val="minor"/>
    </font>
    <font>
      <b/>
      <i/>
      <sz val="16"/>
      <color theme="1"/>
      <name val="Calibri"/>
      <family val="2"/>
      <scheme val="minor"/>
    </font>
    <font>
      <b/>
      <sz val="26"/>
      <color theme="4"/>
      <name val="Calibri"/>
      <family val="2"/>
      <scheme val="minor"/>
    </font>
    <font>
      <b/>
      <sz val="26"/>
      <color theme="8" tint="-0.249977111117893"/>
      <name val="Calibri"/>
      <family val="2"/>
      <scheme val="minor"/>
    </font>
    <font>
      <b/>
      <sz val="18"/>
      <color theme="0"/>
      <name val="Calibri"/>
      <family val="2"/>
      <scheme val="minor"/>
    </font>
    <font>
      <sz val="20"/>
      <color theme="1"/>
      <name val="Calibri"/>
      <family val="2"/>
      <scheme val="minor"/>
    </font>
    <font>
      <sz val="11"/>
      <color rgb="FF000000"/>
      <name val="Calibri"/>
      <family val="2"/>
    </font>
    <font>
      <sz val="11"/>
      <color theme="0"/>
      <name val="Calibri"/>
      <family val="2"/>
    </font>
    <font>
      <b/>
      <sz val="11"/>
      <color theme="0"/>
      <name val="Calibri"/>
      <family val="2"/>
    </font>
    <font>
      <sz val="14"/>
      <color theme="0"/>
      <name val="Calibri"/>
      <family val="2"/>
      <scheme val="minor"/>
    </font>
    <font>
      <b/>
      <sz val="12"/>
      <color theme="0"/>
      <name val="Calibri"/>
      <family val="2"/>
      <scheme val="minor"/>
    </font>
    <font>
      <b/>
      <sz val="14"/>
      <color theme="4" tint="-0.249977111117893"/>
      <name val="Calibri"/>
      <family val="2"/>
      <scheme val="minor"/>
    </font>
    <font>
      <b/>
      <sz val="9"/>
      <color theme="4"/>
      <name val="Calibri"/>
      <family val="2"/>
      <scheme val="minor"/>
    </font>
    <font>
      <b/>
      <sz val="14"/>
      <color rgb="FFC00000"/>
      <name val="Calibri"/>
      <family val="2"/>
      <scheme val="minor"/>
    </font>
  </fonts>
  <fills count="3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rgb="FFFCE4D6"/>
        <bgColor rgb="FF000000"/>
      </patternFill>
    </fill>
    <fill>
      <patternFill patternType="solid">
        <fgColor rgb="FFFFF2CC"/>
        <bgColor rgb="FF000000"/>
      </patternFill>
    </fill>
    <fill>
      <patternFill patternType="solid">
        <fgColor rgb="FFF2F2F2"/>
        <bgColor rgb="FF000000"/>
      </patternFill>
    </fill>
    <fill>
      <patternFill patternType="solid">
        <fgColor rgb="FFBDD7EE"/>
        <bgColor rgb="FF000000"/>
      </patternFill>
    </fill>
    <fill>
      <patternFill patternType="solid">
        <fgColor rgb="FFA9D08E"/>
        <bgColor rgb="FF000000"/>
      </patternFill>
    </fill>
    <fill>
      <patternFill patternType="solid">
        <fgColor rgb="FFD0CECE"/>
        <bgColor rgb="FF000000"/>
      </patternFill>
    </fill>
    <fill>
      <patternFill patternType="solid">
        <fgColor theme="8" tint="-0.249977111117893"/>
        <bgColor indexed="64"/>
      </patternFill>
    </fill>
    <fill>
      <patternFill patternType="solid">
        <fgColor theme="9" tint="-0.249977111117893"/>
        <bgColor indexed="64"/>
      </patternFill>
    </fill>
    <fill>
      <patternFill patternType="solid">
        <fgColor rgb="FFFBA3EA"/>
        <bgColor indexed="64"/>
      </patternFill>
    </fill>
    <fill>
      <patternFill patternType="solid">
        <fgColor theme="7"/>
        <bgColor indexed="64"/>
      </patternFill>
    </fill>
    <fill>
      <patternFill patternType="solid">
        <fgColor theme="6" tint="0.59999389629810485"/>
        <bgColor indexed="64"/>
      </patternFill>
    </fill>
    <fill>
      <patternFill patternType="solid">
        <fgColor rgb="FFFFC000"/>
        <bgColor indexed="64"/>
      </patternFill>
    </fill>
    <fill>
      <patternFill patternType="solid">
        <fgColor rgb="FF3E4D60"/>
        <bgColor indexed="64"/>
      </patternFill>
    </fill>
    <fill>
      <patternFill patternType="solid">
        <fgColor rgb="FF0070C0"/>
        <bgColor indexed="64"/>
      </patternFill>
    </fill>
    <fill>
      <patternFill patternType="solid">
        <fgColor theme="0"/>
        <bgColor rgb="FF000000"/>
      </patternFill>
    </fill>
    <fill>
      <patternFill patternType="solid">
        <fgColor theme="4"/>
        <bgColor indexed="64"/>
      </patternFill>
    </fill>
    <fill>
      <patternFill patternType="solid">
        <fgColor theme="4"/>
        <bgColor rgb="FF000000"/>
      </patternFill>
    </fill>
    <fill>
      <patternFill patternType="solid">
        <fgColor theme="5"/>
        <bgColor indexed="64"/>
      </patternFill>
    </fill>
    <fill>
      <patternFill patternType="solid">
        <fgColor theme="9"/>
        <bgColor indexed="64"/>
      </patternFill>
    </fill>
    <fill>
      <patternFill patternType="solid">
        <fgColor theme="7" tint="-0.249977111117893"/>
        <bgColor indexed="64"/>
      </patternFill>
    </fill>
    <fill>
      <patternFill patternType="solid">
        <fgColor theme="4" tint="-0.249977111117893"/>
        <bgColor indexed="64"/>
      </patternFill>
    </fill>
  </fills>
  <borders count="161">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bottom/>
      <diagonal/>
    </border>
    <border>
      <left/>
      <right/>
      <top/>
      <bottom style="medium">
        <color indexed="64"/>
      </bottom>
      <diagonal/>
    </border>
    <border>
      <left/>
      <right/>
      <top style="thin">
        <color indexed="64"/>
      </top>
      <bottom/>
      <diagonal/>
    </border>
    <border>
      <left/>
      <right style="medium">
        <color indexed="64"/>
      </right>
      <top style="thin">
        <color indexed="64"/>
      </top>
      <bottom style="double">
        <color indexed="64"/>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right/>
      <top style="thin">
        <color indexed="64"/>
      </top>
      <bottom style="medium">
        <color indexed="64"/>
      </bottom>
      <diagonal/>
    </border>
    <border>
      <left style="medium">
        <color indexed="64"/>
      </left>
      <right style="medium">
        <color indexed="64"/>
      </right>
      <top/>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indexed="64"/>
      </bottom>
      <diagonal/>
    </border>
    <border>
      <left/>
      <right style="thin">
        <color rgb="FF000000"/>
      </right>
      <top/>
      <bottom style="thin">
        <color indexed="64"/>
      </bottom>
      <diagonal/>
    </border>
    <border>
      <left style="thin">
        <color rgb="FF000000"/>
      </left>
      <right/>
      <top style="thin">
        <color indexed="64"/>
      </top>
      <bottom/>
      <diagonal/>
    </border>
    <border>
      <left/>
      <right style="thin">
        <color rgb="FF000000"/>
      </right>
      <top style="thin">
        <color indexed="64"/>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rgb="FF000000"/>
      </top>
      <bottom style="double">
        <color rgb="FF000000"/>
      </bottom>
      <diagonal/>
    </border>
    <border>
      <left/>
      <right style="thin">
        <color indexed="64"/>
      </right>
      <top/>
      <bottom style="thin">
        <color rgb="FF000000"/>
      </bottom>
      <diagonal/>
    </border>
    <border>
      <left style="thin">
        <color indexed="64"/>
      </left>
      <right style="thin">
        <color indexed="64"/>
      </right>
      <top/>
      <bottom style="double">
        <color indexed="64"/>
      </bottom>
      <diagonal/>
    </border>
    <border>
      <left/>
      <right style="thin">
        <color indexed="64"/>
      </right>
      <top/>
      <bottom style="double">
        <color indexed="64"/>
      </bottom>
      <diagonal/>
    </border>
    <border>
      <left/>
      <right/>
      <top/>
      <bottom style="double">
        <color indexed="64"/>
      </bottom>
      <diagonal/>
    </border>
    <border>
      <left/>
      <right style="medium">
        <color indexed="64"/>
      </right>
      <top style="medium">
        <color rgb="FF000000"/>
      </top>
      <bottom/>
      <diagonal/>
    </border>
    <border>
      <left style="medium">
        <color indexed="64"/>
      </left>
      <right style="medium">
        <color indexed="64"/>
      </right>
      <top style="medium">
        <color rgb="FF000000"/>
      </top>
      <bottom/>
      <diagonal/>
    </border>
    <border>
      <left/>
      <right/>
      <top style="thin">
        <color indexed="64"/>
      </top>
      <bottom style="medium">
        <color rgb="FF000000"/>
      </bottom>
      <diagonal/>
    </border>
    <border>
      <left/>
      <right style="medium">
        <color indexed="64"/>
      </right>
      <top/>
      <bottom style="medium">
        <color rgb="FF000000"/>
      </bottom>
      <diagonal/>
    </border>
    <border>
      <left style="medium">
        <color indexed="64"/>
      </left>
      <right style="medium">
        <color indexed="64"/>
      </right>
      <top/>
      <bottom style="medium">
        <color rgb="FF000000"/>
      </bottom>
      <diagonal/>
    </border>
    <border>
      <left/>
      <right/>
      <top style="thin">
        <color rgb="FF000000"/>
      </top>
      <bottom style="double">
        <color rgb="FF000000"/>
      </bottom>
      <diagonal/>
    </border>
    <border>
      <left style="thin">
        <color rgb="FF000000"/>
      </left>
      <right/>
      <top style="thin">
        <color rgb="FF000000"/>
      </top>
      <bottom style="double">
        <color rgb="FF000000"/>
      </bottom>
      <diagonal/>
    </border>
    <border>
      <left/>
      <right style="thin">
        <color rgb="FF000000"/>
      </right>
      <top/>
      <bottom style="double">
        <color indexed="64"/>
      </bottom>
      <diagonal/>
    </border>
    <border>
      <left style="thin">
        <color rgb="FF000000"/>
      </left>
      <right style="thin">
        <color rgb="FF000000"/>
      </right>
      <top/>
      <bottom style="thin">
        <color rgb="FF000000"/>
      </bottom>
      <diagonal/>
    </border>
    <border>
      <left style="thin">
        <color rgb="FF000000"/>
      </left>
      <right/>
      <top style="thin">
        <color indexed="64"/>
      </top>
      <bottom style="double">
        <color indexed="64"/>
      </bottom>
      <diagonal/>
    </border>
    <border>
      <left/>
      <right style="thin">
        <color rgb="FF000000"/>
      </right>
      <top style="thin">
        <color indexed="64"/>
      </top>
      <bottom style="double">
        <color indexed="64"/>
      </bottom>
      <diagonal/>
    </border>
    <border>
      <left style="thin">
        <color rgb="FF000000"/>
      </left>
      <right/>
      <top/>
      <bottom style="double">
        <color indexed="64"/>
      </bottom>
      <diagonal/>
    </border>
    <border>
      <left/>
      <right/>
      <top/>
      <bottom style="double">
        <color rgb="FF000000"/>
      </bottom>
      <diagonal/>
    </border>
    <border>
      <left style="thin">
        <color rgb="FF000000"/>
      </left>
      <right/>
      <top/>
      <bottom style="double">
        <color rgb="FF000000"/>
      </bottom>
      <diagonal/>
    </border>
    <border>
      <left/>
      <right style="thin">
        <color rgb="FF000000"/>
      </right>
      <top/>
      <bottom style="double">
        <color rgb="FF000000"/>
      </bottom>
      <diagonal/>
    </border>
    <border>
      <left/>
      <right style="thin">
        <color rgb="FF000000"/>
      </right>
      <top style="thin">
        <color indexed="64"/>
      </top>
      <bottom style="medium">
        <color indexed="64"/>
      </bottom>
      <diagonal/>
    </border>
    <border>
      <left style="thin">
        <color rgb="FF000000"/>
      </left>
      <right/>
      <top style="thin">
        <color indexed="64"/>
      </top>
      <bottom style="medium">
        <color indexed="64"/>
      </bottom>
      <diagonal/>
    </border>
    <border>
      <left style="thin">
        <color rgb="FF000000"/>
      </left>
      <right/>
      <top style="thin">
        <color indexed="64"/>
      </top>
      <bottom style="medium">
        <color rgb="FF000000"/>
      </bottom>
      <diagonal/>
    </border>
    <border>
      <left/>
      <right style="thin">
        <color rgb="FF000000"/>
      </right>
      <top style="thin">
        <color indexed="64"/>
      </top>
      <bottom style="medium">
        <color rgb="FF000000"/>
      </bottom>
      <diagonal/>
    </border>
    <border>
      <left style="thin">
        <color indexed="64"/>
      </left>
      <right style="thin">
        <color rgb="FF000000"/>
      </right>
      <top style="thin">
        <color indexed="64"/>
      </top>
      <bottom style="double">
        <color indexed="64"/>
      </bottom>
      <diagonal/>
    </border>
    <border>
      <left style="thin">
        <color indexed="64"/>
      </left>
      <right style="thin">
        <color rgb="FF000000"/>
      </right>
      <top style="thin">
        <color rgb="FF000000"/>
      </top>
      <bottom style="double">
        <color rgb="FF000000"/>
      </bottom>
      <diagonal/>
    </border>
    <border>
      <left style="thin">
        <color indexed="64"/>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top/>
      <bottom style="double">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auto="1"/>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top/>
      <bottom style="thin">
        <color auto="1"/>
      </bottom>
      <diagonal/>
    </border>
    <border>
      <left style="thick">
        <color rgb="FFC00000"/>
      </left>
      <right/>
      <top style="thick">
        <color rgb="FFC00000"/>
      </top>
      <bottom style="thick">
        <color rgb="FFC00000"/>
      </bottom>
      <diagonal/>
    </border>
    <border>
      <left/>
      <right style="thick">
        <color rgb="FFC00000"/>
      </right>
      <top style="thick">
        <color rgb="FFC00000"/>
      </top>
      <bottom style="thick">
        <color rgb="FFC00000"/>
      </bottom>
      <diagonal/>
    </border>
    <border>
      <left style="medium">
        <color rgb="FFC00000"/>
      </left>
      <right/>
      <top style="medium">
        <color rgb="FFC00000"/>
      </top>
      <bottom/>
      <diagonal/>
    </border>
    <border>
      <left style="medium">
        <color rgb="FFC00000"/>
      </left>
      <right/>
      <top/>
      <bottom/>
      <diagonal/>
    </border>
    <border>
      <left/>
      <right style="medium">
        <color rgb="FFC00000"/>
      </right>
      <top/>
      <bottom/>
      <diagonal/>
    </border>
    <border>
      <left style="thin">
        <color indexed="64"/>
      </left>
      <right style="medium">
        <color rgb="FFC00000"/>
      </right>
      <top style="thin">
        <color indexed="64"/>
      </top>
      <bottom style="thin">
        <color indexed="64"/>
      </bottom>
      <diagonal/>
    </border>
    <border>
      <left style="thin">
        <color theme="1"/>
      </left>
      <right/>
      <top style="thin">
        <color theme="1"/>
      </top>
      <bottom/>
      <diagonal/>
    </border>
    <border>
      <left/>
      <right/>
      <top style="thin">
        <color theme="1"/>
      </top>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top/>
      <bottom/>
      <diagonal/>
    </border>
    <border>
      <left/>
      <right style="thin">
        <color theme="1"/>
      </right>
      <top/>
      <bottom/>
      <diagonal/>
    </border>
    <border>
      <left style="thin">
        <color indexed="64"/>
      </left>
      <right style="thin">
        <color theme="1"/>
      </right>
      <top/>
      <bottom/>
      <diagonal/>
    </border>
    <border>
      <left style="thin">
        <color theme="1"/>
      </left>
      <right/>
      <top style="thin">
        <color indexed="64"/>
      </top>
      <bottom/>
      <diagonal/>
    </border>
    <border>
      <left style="thin">
        <color indexed="64"/>
      </left>
      <right style="thin">
        <color theme="1"/>
      </right>
      <top style="thin">
        <color indexed="64"/>
      </top>
      <bottom style="double">
        <color indexed="64"/>
      </bottom>
      <diagonal/>
    </border>
    <border>
      <left style="thin">
        <color theme="1"/>
      </left>
      <right/>
      <top style="thin">
        <color indexed="64"/>
      </top>
      <bottom style="medium">
        <color indexed="64"/>
      </bottom>
      <diagonal/>
    </border>
    <border>
      <left style="thin">
        <color auto="1"/>
      </left>
      <right style="thin">
        <color theme="1"/>
      </right>
      <top style="thin">
        <color auto="1"/>
      </top>
      <bottom/>
      <diagonal/>
    </border>
    <border>
      <left/>
      <right style="thin">
        <color theme="1"/>
      </right>
      <top style="thin">
        <color indexed="64"/>
      </top>
      <bottom style="medium">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medium">
        <color indexed="64"/>
      </top>
      <bottom style="thin">
        <color theme="1"/>
      </bottom>
      <diagonal/>
    </border>
    <border>
      <left/>
      <right/>
      <top style="medium">
        <color indexed="64"/>
      </top>
      <bottom style="thin">
        <color theme="1"/>
      </bottom>
      <diagonal/>
    </border>
    <border>
      <left/>
      <right style="thin">
        <color theme="1"/>
      </right>
      <top style="medium">
        <color indexed="64"/>
      </top>
      <bottom style="thin">
        <color theme="1"/>
      </bottom>
      <diagonal/>
    </border>
    <border>
      <left/>
      <right/>
      <top style="medium">
        <color rgb="FFC00000"/>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auto="1"/>
      </left>
      <right/>
      <top style="thin">
        <color auto="1"/>
      </top>
      <bottom style="medium">
        <color indexed="64"/>
      </bottom>
      <diagonal/>
    </border>
    <border>
      <left style="thin">
        <color auto="1"/>
      </left>
      <right style="thin">
        <color theme="1"/>
      </right>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rgb="FFC00000"/>
      </left>
      <right/>
      <top style="medium">
        <color rgb="FFC00000"/>
      </top>
      <bottom style="thin">
        <color indexed="64"/>
      </bottom>
      <diagonal/>
    </border>
    <border>
      <left style="thin">
        <color auto="1"/>
      </left>
      <right style="thin">
        <color auto="1"/>
      </right>
      <top style="medium">
        <color rgb="FFC00000"/>
      </top>
      <bottom style="thin">
        <color auto="1"/>
      </bottom>
      <diagonal/>
    </border>
    <border>
      <left style="thin">
        <color auto="1"/>
      </left>
      <right style="medium">
        <color indexed="64"/>
      </right>
      <top style="medium">
        <color rgb="FFC00000"/>
      </top>
      <bottom style="thin">
        <color auto="1"/>
      </bottom>
      <diagonal/>
    </border>
    <border>
      <left/>
      <right style="medium">
        <color rgb="FFC00000"/>
      </right>
      <top style="medium">
        <color rgb="FFC00000"/>
      </top>
      <bottom/>
      <diagonal/>
    </border>
    <border>
      <left style="medium">
        <color rgb="FFC00000"/>
      </left>
      <right/>
      <top/>
      <bottom style="medium">
        <color rgb="FFC00000"/>
      </bottom>
      <diagonal/>
    </border>
    <border>
      <left/>
      <right/>
      <top/>
      <bottom style="medium">
        <color rgb="FFC00000"/>
      </bottom>
      <diagonal/>
    </border>
    <border>
      <left/>
      <right style="thin">
        <color indexed="64"/>
      </right>
      <top/>
      <bottom style="medium">
        <color rgb="FFC00000"/>
      </bottom>
      <diagonal/>
    </border>
    <border>
      <left/>
      <right style="medium">
        <color rgb="FFC00000"/>
      </right>
      <top/>
      <bottom style="medium">
        <color rgb="FFC00000"/>
      </bottom>
      <diagonal/>
    </border>
  </borders>
  <cellStyleXfs count="10">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9" fillId="0" borderId="0"/>
    <xf numFmtId="0" fontId="21" fillId="0" borderId="0"/>
    <xf numFmtId="0" fontId="1" fillId="0" borderId="0"/>
    <xf numFmtId="44" fontId="1" fillId="0" borderId="0" applyFont="0" applyFill="0" applyBorder="0" applyAlignment="0" applyProtection="0"/>
    <xf numFmtId="9" fontId="1" fillId="0" borderId="0" applyFont="0" applyFill="0" applyBorder="0" applyAlignment="0" applyProtection="0"/>
    <xf numFmtId="0" fontId="32" fillId="0" borderId="0" applyNumberFormat="0" applyFill="0" applyBorder="0" applyAlignment="0" applyProtection="0"/>
  </cellStyleXfs>
  <cellXfs count="1249">
    <xf numFmtId="0" fontId="0" fillId="0" borderId="0" xfId="0"/>
    <xf numFmtId="164" fontId="0" fillId="0" borderId="0" xfId="2" applyNumberFormat="1" applyFont="1"/>
    <xf numFmtId="166" fontId="0" fillId="0" borderId="0" xfId="1" applyNumberFormat="1" applyFont="1"/>
    <xf numFmtId="164" fontId="2" fillId="2" borderId="0" xfId="2" applyNumberFormat="1" applyFont="1" applyFill="1" applyBorder="1" applyAlignment="1">
      <alignment horizontal="center"/>
    </xf>
    <xf numFmtId="166" fontId="2" fillId="2" borderId="0" xfId="1" applyNumberFormat="1" applyFont="1" applyFill="1" applyBorder="1" applyAlignment="1">
      <alignment horizontal="center" vertical="center"/>
    </xf>
    <xf numFmtId="164" fontId="2" fillId="2" borderId="0" xfId="2" applyNumberFormat="1" applyFont="1" applyFill="1" applyBorder="1" applyAlignment="1">
      <alignment horizontal="center" vertical="center"/>
    </xf>
    <xf numFmtId="165" fontId="0" fillId="2" borderId="0" xfId="1" applyNumberFormat="1" applyFont="1" applyFill="1" applyBorder="1"/>
    <xf numFmtId="166" fontId="0" fillId="2" borderId="0" xfId="1" applyNumberFormat="1" applyFont="1" applyFill="1" applyBorder="1"/>
    <xf numFmtId="165" fontId="2" fillId="2" borderId="0" xfId="1" applyNumberFormat="1" applyFont="1" applyFill="1" applyBorder="1" applyAlignment="1">
      <alignment horizontal="center"/>
    </xf>
    <xf numFmtId="165" fontId="2" fillId="2" borderId="0" xfId="2" applyNumberFormat="1" applyFont="1" applyFill="1" applyBorder="1" applyAlignment="1">
      <alignment horizontal="center"/>
    </xf>
    <xf numFmtId="164" fontId="0" fillId="2" borderId="0" xfId="2" applyNumberFormat="1" applyFont="1" applyFill="1" applyBorder="1"/>
    <xf numFmtId="164" fontId="4" fillId="2" borderId="0" xfId="2" applyNumberFormat="1" applyFont="1" applyFill="1" applyBorder="1" applyAlignment="1">
      <alignment horizontal="center"/>
    </xf>
    <xf numFmtId="0" fontId="2" fillId="2" borderId="1" xfId="0" applyFont="1" applyFill="1" applyBorder="1"/>
    <xf numFmtId="165" fontId="2" fillId="2" borderId="1" xfId="1" applyNumberFormat="1" applyFont="1" applyFill="1" applyBorder="1"/>
    <xf numFmtId="166" fontId="2" fillId="2" borderId="1" xfId="1" applyNumberFormat="1" applyFont="1" applyFill="1" applyBorder="1"/>
    <xf numFmtId="165" fontId="2" fillId="2" borderId="0" xfId="1" applyNumberFormat="1" applyFont="1" applyFill="1" applyBorder="1"/>
    <xf numFmtId="166" fontId="2" fillId="2" borderId="0" xfId="1" applyNumberFormat="1" applyFont="1" applyFill="1" applyBorder="1"/>
    <xf numFmtId="164" fontId="2" fillId="2" borderId="3" xfId="2" applyNumberFormat="1" applyFont="1" applyFill="1" applyBorder="1" applyAlignment="1">
      <alignment horizontal="center"/>
    </xf>
    <xf numFmtId="164" fontId="0" fillId="2" borderId="4" xfId="2" applyNumberFormat="1" applyFont="1" applyFill="1" applyBorder="1"/>
    <xf numFmtId="166" fontId="2" fillId="2" borderId="6" xfId="1" applyNumberFormat="1" applyFont="1" applyFill="1" applyBorder="1"/>
    <xf numFmtId="166" fontId="2" fillId="2" borderId="4" xfId="1" applyNumberFormat="1" applyFont="1" applyFill="1" applyBorder="1"/>
    <xf numFmtId="0" fontId="0" fillId="2" borderId="7" xfId="0" applyFill="1" applyBorder="1"/>
    <xf numFmtId="164" fontId="2" fillId="2" borderId="7" xfId="2" applyNumberFormat="1" applyFont="1" applyFill="1" applyBorder="1" applyAlignment="1">
      <alignment horizontal="center"/>
    </xf>
    <xf numFmtId="166" fontId="0" fillId="2" borderId="7" xfId="0" applyNumberFormat="1" applyFill="1" applyBorder="1"/>
    <xf numFmtId="165" fontId="2" fillId="2" borderId="8" xfId="2" applyNumberFormat="1" applyFont="1" applyFill="1" applyBorder="1" applyAlignment="1">
      <alignment horizontal="center"/>
    </xf>
    <xf numFmtId="0" fontId="2" fillId="2" borderId="9" xfId="0" applyFont="1" applyFill="1" applyBorder="1"/>
    <xf numFmtId="165" fontId="2" fillId="2" borderId="9" xfId="1" applyNumberFormat="1" applyFont="1" applyFill="1" applyBorder="1"/>
    <xf numFmtId="166" fontId="2" fillId="2" borderId="9" xfId="1" applyNumberFormat="1" applyFont="1" applyFill="1" applyBorder="1"/>
    <xf numFmtId="0" fontId="0" fillId="0" borderId="7" xfId="0" applyBorder="1"/>
    <xf numFmtId="166" fontId="0" fillId="0" borderId="7" xfId="0" applyNumberFormat="1" applyBorder="1"/>
    <xf numFmtId="166" fontId="0" fillId="0" borderId="0" xfId="1" applyNumberFormat="1" applyFont="1" applyBorder="1"/>
    <xf numFmtId="164" fontId="0" fillId="0" borderId="0" xfId="2" applyNumberFormat="1" applyFont="1" applyBorder="1"/>
    <xf numFmtId="0" fontId="2" fillId="3" borderId="1" xfId="0" applyFont="1" applyFill="1" applyBorder="1"/>
    <xf numFmtId="165" fontId="2" fillId="3" borderId="1" xfId="1" applyNumberFormat="1" applyFont="1" applyFill="1" applyBorder="1"/>
    <xf numFmtId="166" fontId="2" fillId="3" borderId="1" xfId="1" applyNumberFormat="1" applyFont="1" applyFill="1" applyBorder="1"/>
    <xf numFmtId="166" fontId="2" fillId="3" borderId="5" xfId="1" applyNumberFormat="1" applyFont="1" applyFill="1" applyBorder="1"/>
    <xf numFmtId="166" fontId="0" fillId="3" borderId="7" xfId="0" applyNumberFormat="1" applyFill="1" applyBorder="1"/>
    <xf numFmtId="0" fontId="2" fillId="3" borderId="9" xfId="0" applyFont="1" applyFill="1" applyBorder="1"/>
    <xf numFmtId="165" fontId="2" fillId="3" borderId="9" xfId="1" applyNumberFormat="1" applyFont="1" applyFill="1" applyBorder="1"/>
    <xf numFmtId="166" fontId="2" fillId="3" borderId="9" xfId="1" applyNumberFormat="1" applyFont="1" applyFill="1" applyBorder="1"/>
    <xf numFmtId="166" fontId="2" fillId="3" borderId="2" xfId="1" applyNumberFormat="1" applyFont="1" applyFill="1" applyBorder="1"/>
    <xf numFmtId="166" fontId="2" fillId="3" borderId="0" xfId="1" applyNumberFormat="1" applyFont="1" applyFill="1" applyBorder="1"/>
    <xf numFmtId="164" fontId="2" fillId="2" borderId="7" xfId="2" applyNumberFormat="1" applyFont="1" applyFill="1" applyBorder="1"/>
    <xf numFmtId="0" fontId="2" fillId="2" borderId="4" xfId="0" quotePrefix="1" applyFont="1" applyFill="1" applyBorder="1" applyAlignment="1">
      <alignment horizontal="center"/>
    </xf>
    <xf numFmtId="164" fontId="2" fillId="0" borderId="4" xfId="2" applyNumberFormat="1" applyFont="1" applyBorder="1"/>
    <xf numFmtId="165" fontId="1" fillId="2" borderId="0" xfId="1" applyNumberFormat="1" applyFont="1" applyFill="1" applyBorder="1"/>
    <xf numFmtId="0" fontId="2" fillId="4" borderId="1" xfId="0" applyFont="1" applyFill="1" applyBorder="1"/>
    <xf numFmtId="165" fontId="2" fillId="4" borderId="1" xfId="1" applyNumberFormat="1" applyFont="1" applyFill="1" applyBorder="1"/>
    <xf numFmtId="166" fontId="2" fillId="4" borderId="1" xfId="1" applyNumberFormat="1" applyFont="1" applyFill="1" applyBorder="1" applyAlignment="1">
      <alignment horizontal="right"/>
    </xf>
    <xf numFmtId="166" fontId="2" fillId="4" borderId="1" xfId="1" applyNumberFormat="1" applyFont="1" applyFill="1" applyBorder="1"/>
    <xf numFmtId="166" fontId="0" fillId="4" borderId="10" xfId="0" applyNumberFormat="1" applyFill="1" applyBorder="1"/>
    <xf numFmtId="10" fontId="2" fillId="2" borderId="0" xfId="3" applyNumberFormat="1" applyFont="1" applyFill="1" applyBorder="1" applyAlignment="1">
      <alignment horizontal="right"/>
    </xf>
    <xf numFmtId="166" fontId="2" fillId="2" borderId="14" xfId="1" applyNumberFormat="1" applyFont="1" applyFill="1" applyBorder="1" applyAlignment="1">
      <alignment horizontal="center"/>
    </xf>
    <xf numFmtId="10" fontId="2" fillId="2" borderId="14" xfId="3" applyNumberFormat="1" applyFont="1" applyFill="1" applyBorder="1" applyAlignment="1">
      <alignment horizontal="right"/>
    </xf>
    <xf numFmtId="164" fontId="2" fillId="2" borderId="14" xfId="2" applyNumberFormat="1" applyFont="1" applyFill="1" applyBorder="1" applyAlignment="1">
      <alignment horizontal="center"/>
    </xf>
    <xf numFmtId="166" fontId="2" fillId="4" borderId="6" xfId="1" applyNumberFormat="1" applyFont="1" applyFill="1" applyBorder="1"/>
    <xf numFmtId="164" fontId="2" fillId="0" borderId="11" xfId="2" applyNumberFormat="1" applyFont="1" applyBorder="1"/>
    <xf numFmtId="166" fontId="2" fillId="0" borderId="0" xfId="1" applyNumberFormat="1" applyFont="1" applyBorder="1" applyAlignment="1">
      <alignment horizontal="center"/>
    </xf>
    <xf numFmtId="0" fontId="2" fillId="2" borderId="0" xfId="0" applyFont="1" applyFill="1" applyAlignment="1">
      <alignment horizontal="center"/>
    </xf>
    <xf numFmtId="164" fontId="2" fillId="0" borderId="0" xfId="2" applyNumberFormat="1" applyFont="1" applyBorder="1"/>
    <xf numFmtId="0" fontId="0" fillId="0" borderId="15" xfId="0" applyBorder="1"/>
    <xf numFmtId="0" fontId="2" fillId="0" borderId="15" xfId="0" applyFont="1" applyBorder="1" applyAlignment="1">
      <alignment horizontal="center"/>
    </xf>
    <xf numFmtId="164" fontId="2" fillId="0" borderId="15" xfId="2" applyNumberFormat="1" applyFont="1" applyBorder="1"/>
    <xf numFmtId="167" fontId="0" fillId="0" borderId="0" xfId="0" applyNumberFormat="1"/>
    <xf numFmtId="43" fontId="0" fillId="0" borderId="15" xfId="0" applyNumberFormat="1" applyBorder="1"/>
    <xf numFmtId="166" fontId="0" fillId="0" borderId="15" xfId="0" applyNumberFormat="1" applyBorder="1"/>
    <xf numFmtId="10" fontId="2" fillId="2" borderId="8" xfId="3" applyNumberFormat="1" applyFont="1" applyFill="1" applyBorder="1" applyAlignment="1">
      <alignment horizontal="right"/>
    </xf>
    <xf numFmtId="10" fontId="2" fillId="2" borderId="9" xfId="3" applyNumberFormat="1" applyFont="1" applyFill="1" applyBorder="1" applyAlignment="1">
      <alignment horizontal="right"/>
    </xf>
    <xf numFmtId="10" fontId="2" fillId="2" borderId="16" xfId="3" applyNumberFormat="1" applyFont="1" applyFill="1" applyBorder="1" applyAlignment="1">
      <alignment horizontal="right"/>
    </xf>
    <xf numFmtId="165" fontId="2" fillId="2" borderId="16" xfId="2" applyNumberFormat="1" applyFont="1" applyFill="1" applyBorder="1" applyAlignment="1">
      <alignment horizontal="center"/>
    </xf>
    <xf numFmtId="0" fontId="2" fillId="2" borderId="16" xfId="0" applyFont="1" applyFill="1" applyBorder="1" applyAlignment="1">
      <alignment horizontal="center"/>
    </xf>
    <xf numFmtId="43" fontId="2" fillId="0" borderId="15" xfId="0" applyNumberFormat="1" applyFont="1" applyBorder="1"/>
    <xf numFmtId="166" fontId="2" fillId="0" borderId="15" xfId="0" applyNumberFormat="1" applyFont="1" applyBorder="1"/>
    <xf numFmtId="43" fontId="2" fillId="0" borderId="15" xfId="1" applyFont="1" applyBorder="1"/>
    <xf numFmtId="0" fontId="2" fillId="5" borderId="9" xfId="0" applyFont="1" applyFill="1" applyBorder="1"/>
    <xf numFmtId="165" fontId="2" fillId="5" borderId="9" xfId="1" applyNumberFormat="1" applyFont="1" applyFill="1" applyBorder="1"/>
    <xf numFmtId="166" fontId="2" fillId="5" borderId="9" xfId="1" applyNumberFormat="1" applyFont="1" applyFill="1" applyBorder="1"/>
    <xf numFmtId="0" fontId="2" fillId="2" borderId="14" xfId="0" applyFont="1" applyFill="1" applyBorder="1"/>
    <xf numFmtId="165" fontId="2" fillId="2" borderId="14" xfId="1" applyNumberFormat="1" applyFont="1" applyFill="1" applyBorder="1"/>
    <xf numFmtId="166" fontId="2" fillId="2" borderId="14" xfId="1" applyNumberFormat="1" applyFont="1" applyFill="1" applyBorder="1"/>
    <xf numFmtId="164" fontId="2" fillId="2" borderId="0" xfId="0" applyNumberFormat="1" applyFont="1" applyFill="1" applyAlignment="1">
      <alignment horizontal="center"/>
    </xf>
    <xf numFmtId="0" fontId="6" fillId="0" borderId="0" xfId="0" applyFont="1"/>
    <xf numFmtId="49" fontId="3" fillId="0" borderId="0" xfId="0" applyNumberFormat="1" applyFont="1"/>
    <xf numFmtId="0" fontId="3" fillId="0" borderId="0" xfId="0" applyFont="1"/>
    <xf numFmtId="170" fontId="10" fillId="0" borderId="0" xfId="0" applyNumberFormat="1" applyFont="1"/>
    <xf numFmtId="170" fontId="3" fillId="0" borderId="0" xfId="0" applyNumberFormat="1" applyFont="1"/>
    <xf numFmtId="49" fontId="4" fillId="0" borderId="0" xfId="0" applyNumberFormat="1" applyFont="1"/>
    <xf numFmtId="169" fontId="3" fillId="0" borderId="0" xfId="0" applyNumberFormat="1" applyFont="1"/>
    <xf numFmtId="0" fontId="12" fillId="0" borderId="0" xfId="0" applyFont="1" applyAlignment="1">
      <alignment horizontal="center"/>
    </xf>
    <xf numFmtId="170" fontId="3" fillId="0" borderId="0" xfId="0" applyNumberFormat="1" applyFont="1" applyAlignment="1">
      <alignment horizontal="right"/>
    </xf>
    <xf numFmtId="0" fontId="4" fillId="0" borderId="0" xfId="0" applyFont="1"/>
    <xf numFmtId="169" fontId="13" fillId="0" borderId="0" xfId="0" applyNumberFormat="1" applyFont="1" applyAlignment="1">
      <alignment horizontal="center"/>
    </xf>
    <xf numFmtId="0" fontId="10" fillId="0" borderId="0" xfId="0" applyFont="1"/>
    <xf numFmtId="0" fontId="3" fillId="0" borderId="0" xfId="0" applyFont="1" applyAlignment="1">
      <alignment horizontal="center"/>
    </xf>
    <xf numFmtId="0" fontId="13" fillId="0" borderId="0" xfId="0" applyFont="1" applyAlignment="1">
      <alignment horizontal="center"/>
    </xf>
    <xf numFmtId="0" fontId="4" fillId="0" borderId="0" xfId="0" applyFont="1" applyAlignment="1">
      <alignment horizontal="center"/>
    </xf>
    <xf numFmtId="49" fontId="3" fillId="0" borderId="0" xfId="0" applyNumberFormat="1" applyFont="1" applyAlignment="1">
      <alignment wrapText="1"/>
    </xf>
    <xf numFmtId="0" fontId="4" fillId="0" borderId="0" xfId="0" applyFont="1" applyAlignment="1">
      <alignment wrapText="1"/>
    </xf>
    <xf numFmtId="0" fontId="3" fillId="0" borderId="0" xfId="0" applyFont="1" applyAlignment="1">
      <alignment wrapText="1"/>
    </xf>
    <xf numFmtId="0" fontId="4" fillId="0" borderId="0" xfId="0" applyFont="1" applyAlignment="1">
      <alignment horizontal="right" wrapText="1"/>
    </xf>
    <xf numFmtId="0" fontId="4" fillId="0" borderId="17" xfId="0" applyFont="1" applyBorder="1"/>
    <xf numFmtId="0" fontId="4" fillId="0" borderId="18" xfId="0" applyFont="1" applyBorder="1"/>
    <xf numFmtId="0" fontId="3" fillId="0" borderId="0" xfId="0" quotePrefix="1" applyFont="1"/>
    <xf numFmtId="0" fontId="11" fillId="0" borderId="0" xfId="0" applyFont="1"/>
    <xf numFmtId="0" fontId="15" fillId="0" borderId="0" xfId="0" applyFont="1"/>
    <xf numFmtId="0" fontId="3" fillId="0" borderId="0" xfId="0" applyFont="1" applyAlignment="1">
      <alignment horizontal="right"/>
    </xf>
    <xf numFmtId="164" fontId="2" fillId="0" borderId="0" xfId="2" applyNumberFormat="1" applyFont="1" applyFill="1" applyBorder="1" applyAlignment="1">
      <alignment horizontal="center"/>
    </xf>
    <xf numFmtId="164" fontId="0" fillId="0" borderId="0" xfId="2" applyNumberFormat="1" applyFont="1" applyFill="1" applyBorder="1"/>
    <xf numFmtId="166" fontId="2" fillId="2" borderId="9" xfId="0" applyNumberFormat="1" applyFont="1" applyFill="1" applyBorder="1"/>
    <xf numFmtId="166" fontId="2" fillId="2" borderId="9" xfId="1" applyNumberFormat="1" applyFont="1" applyFill="1" applyBorder="1" applyAlignment="1">
      <alignment horizontal="right"/>
    </xf>
    <xf numFmtId="166" fontId="2" fillId="2" borderId="16" xfId="0" applyNumberFormat="1" applyFont="1" applyFill="1" applyBorder="1"/>
    <xf numFmtId="166" fontId="2" fillId="2" borderId="16" xfId="1" applyNumberFormat="1" applyFont="1" applyFill="1" applyBorder="1" applyAlignment="1">
      <alignment horizontal="right"/>
    </xf>
    <xf numFmtId="166" fontId="2" fillId="2" borderId="0" xfId="1" applyNumberFormat="1" applyFont="1" applyFill="1" applyBorder="1" applyAlignment="1">
      <alignment horizontal="right"/>
    </xf>
    <xf numFmtId="166" fontId="2" fillId="2" borderId="14" xfId="1" applyNumberFormat="1" applyFont="1" applyFill="1" applyBorder="1" applyAlignment="1">
      <alignment horizontal="right"/>
    </xf>
    <xf numFmtId="0" fontId="2" fillId="2" borderId="0" xfId="0" applyFont="1" applyFill="1"/>
    <xf numFmtId="168" fontId="2" fillId="0" borderId="0" xfId="2" applyNumberFormat="1" applyFont="1" applyBorder="1"/>
    <xf numFmtId="0" fontId="0" fillId="2" borderId="0" xfId="0" applyFill="1"/>
    <xf numFmtId="14" fontId="2" fillId="2" borderId="0" xfId="0" applyNumberFormat="1" applyFont="1" applyFill="1" applyAlignment="1">
      <alignment horizontal="center"/>
    </xf>
    <xf numFmtId="14" fontId="2" fillId="0" borderId="0" xfId="0" applyNumberFormat="1" applyFont="1" applyAlignment="1">
      <alignment horizontal="center"/>
    </xf>
    <xf numFmtId="164" fontId="0" fillId="0" borderId="0" xfId="0" applyNumberFormat="1"/>
    <xf numFmtId="166" fontId="0" fillId="0" borderId="0" xfId="0" applyNumberFormat="1"/>
    <xf numFmtId="43" fontId="0" fillId="0" borderId="0" xfId="0" applyNumberFormat="1"/>
    <xf numFmtId="10" fontId="2" fillId="2" borderId="20" xfId="3" applyNumberFormat="1" applyFont="1" applyFill="1" applyBorder="1" applyAlignment="1">
      <alignment horizontal="right"/>
    </xf>
    <xf numFmtId="10" fontId="2" fillId="2" borderId="22" xfId="3" applyNumberFormat="1" applyFont="1" applyFill="1" applyBorder="1" applyAlignment="1">
      <alignment horizontal="center"/>
    </xf>
    <xf numFmtId="10" fontId="2" fillId="2" borderId="24" xfId="3" applyNumberFormat="1" applyFont="1" applyFill="1" applyBorder="1" applyAlignment="1">
      <alignment horizontal="center"/>
    </xf>
    <xf numFmtId="10" fontId="2" fillId="2" borderId="26" xfId="3" applyNumberFormat="1" applyFont="1" applyFill="1" applyBorder="1" applyAlignment="1">
      <alignment horizontal="center"/>
    </xf>
    <xf numFmtId="10" fontId="2" fillId="2" borderId="28" xfId="3" applyNumberFormat="1" applyFont="1" applyFill="1" applyBorder="1" applyAlignment="1">
      <alignment horizontal="center"/>
    </xf>
    <xf numFmtId="10" fontId="2" fillId="2" borderId="30" xfId="3" applyNumberFormat="1" applyFont="1" applyFill="1" applyBorder="1" applyAlignment="1">
      <alignment horizontal="right"/>
    </xf>
    <xf numFmtId="10" fontId="2" fillId="2" borderId="31" xfId="3" applyNumberFormat="1" applyFont="1" applyFill="1" applyBorder="1" applyAlignment="1">
      <alignment horizontal="center"/>
    </xf>
    <xf numFmtId="0" fontId="0" fillId="0" borderId="32" xfId="0" applyBorder="1"/>
    <xf numFmtId="0" fontId="2" fillId="0" borderId="33" xfId="0" applyFont="1" applyBorder="1" applyAlignment="1">
      <alignment horizontal="center"/>
    </xf>
    <xf numFmtId="166" fontId="2" fillId="0" borderId="33" xfId="1" applyNumberFormat="1" applyFont="1" applyBorder="1" applyAlignment="1">
      <alignment horizontal="center"/>
    </xf>
    <xf numFmtId="164" fontId="0" fillId="0" borderId="33" xfId="2" applyNumberFormat="1" applyFont="1" applyBorder="1"/>
    <xf numFmtId="0" fontId="0" fillId="0" borderId="33" xfId="0" applyBorder="1"/>
    <xf numFmtId="164" fontId="0" fillId="0" borderId="33" xfId="2" applyNumberFormat="1" applyFont="1" applyFill="1" applyBorder="1"/>
    <xf numFmtId="0" fontId="0" fillId="0" borderId="34" xfId="0" applyBorder="1"/>
    <xf numFmtId="0" fontId="0" fillId="0" borderId="35" xfId="0" applyBorder="1"/>
    <xf numFmtId="0" fontId="2" fillId="0" borderId="0" xfId="0" applyFont="1" applyAlignment="1">
      <alignment horizontal="center"/>
    </xf>
    <xf numFmtId="0" fontId="2" fillId="0" borderId="0" xfId="0" applyFont="1"/>
    <xf numFmtId="0" fontId="0" fillId="0" borderId="36" xfId="0" applyBorder="1"/>
    <xf numFmtId="166" fontId="2" fillId="2" borderId="0" xfId="0" applyNumberFormat="1" applyFont="1" applyFill="1"/>
    <xf numFmtId="44" fontId="2" fillId="0" borderId="0" xfId="2" applyFont="1" applyFill="1" applyBorder="1"/>
    <xf numFmtId="0" fontId="0" fillId="0" borderId="37" xfId="0" applyBorder="1"/>
    <xf numFmtId="0" fontId="0" fillId="0" borderId="38" xfId="0" applyBorder="1"/>
    <xf numFmtId="166" fontId="0" fillId="0" borderId="38" xfId="1" applyNumberFormat="1" applyFont="1" applyBorder="1"/>
    <xf numFmtId="164" fontId="0" fillId="0" borderId="38" xfId="2" applyNumberFormat="1" applyFont="1" applyBorder="1"/>
    <xf numFmtId="0" fontId="0" fillId="0" borderId="39" xfId="0" applyBorder="1"/>
    <xf numFmtId="0" fontId="2" fillId="2" borderId="25" xfId="0" applyFont="1" applyFill="1" applyBorder="1"/>
    <xf numFmtId="0" fontId="2" fillId="2" borderId="23" xfId="0" applyFont="1" applyFill="1" applyBorder="1"/>
    <xf numFmtId="0" fontId="2" fillId="2" borderId="27" xfId="0" applyFont="1" applyFill="1" applyBorder="1"/>
    <xf numFmtId="171" fontId="2" fillId="2" borderId="0" xfId="2" applyNumberFormat="1" applyFont="1" applyFill="1" applyBorder="1" applyAlignment="1">
      <alignment horizontal="right"/>
    </xf>
    <xf numFmtId="0" fontId="2" fillId="2" borderId="20" xfId="0" applyFont="1" applyFill="1" applyBorder="1" applyAlignment="1">
      <alignment horizontal="center"/>
    </xf>
    <xf numFmtId="0" fontId="2" fillId="2" borderId="21" xfId="0" applyFont="1" applyFill="1" applyBorder="1" applyAlignment="1">
      <alignment horizontal="center"/>
    </xf>
    <xf numFmtId="0" fontId="2" fillId="2" borderId="27" xfId="0" applyFont="1" applyFill="1" applyBorder="1" applyAlignment="1">
      <alignment horizontal="center"/>
    </xf>
    <xf numFmtId="166" fontId="0" fillId="2" borderId="0" xfId="0" applyNumberFormat="1" applyFill="1"/>
    <xf numFmtId="164" fontId="2" fillId="2" borderId="28" xfId="2" applyNumberFormat="1" applyFont="1" applyFill="1" applyBorder="1" applyAlignment="1">
      <alignment horizontal="center"/>
    </xf>
    <xf numFmtId="9" fontId="2" fillId="2" borderId="28" xfId="0" quotePrefix="1" applyNumberFormat="1" applyFont="1" applyFill="1" applyBorder="1" applyAlignment="1">
      <alignment horizontal="center"/>
    </xf>
    <xf numFmtId="164" fontId="0" fillId="2" borderId="28" xfId="2" applyNumberFormat="1" applyFont="1" applyFill="1" applyBorder="1"/>
    <xf numFmtId="164" fontId="0" fillId="2" borderId="43" xfId="2" applyNumberFormat="1" applyFont="1" applyFill="1" applyBorder="1"/>
    <xf numFmtId="164" fontId="0" fillId="2" borderId="31" xfId="2" applyNumberFormat="1" applyFont="1" applyFill="1" applyBorder="1"/>
    <xf numFmtId="166" fontId="2" fillId="2" borderId="45" xfId="1" applyNumberFormat="1" applyFont="1" applyFill="1" applyBorder="1"/>
    <xf numFmtId="166" fontId="2" fillId="2" borderId="46" xfId="1" applyNumberFormat="1" applyFont="1" applyFill="1" applyBorder="1"/>
    <xf numFmtId="0" fontId="0" fillId="0" borderId="48" xfId="0" applyBorder="1"/>
    <xf numFmtId="0" fontId="2" fillId="2" borderId="0" xfId="0" applyFont="1" applyFill="1" applyAlignment="1">
      <alignment horizontal="center" vertical="center"/>
    </xf>
    <xf numFmtId="0" fontId="2" fillId="2" borderId="0" xfId="0" quotePrefix="1" applyFont="1" applyFill="1" applyAlignment="1">
      <alignment horizontal="center"/>
    </xf>
    <xf numFmtId="9" fontId="2" fillId="2" borderId="0" xfId="0" quotePrefix="1" applyNumberFormat="1" applyFont="1" applyFill="1" applyAlignment="1">
      <alignment horizontal="center"/>
    </xf>
    <xf numFmtId="0" fontId="0" fillId="0" borderId="35" xfId="0" applyBorder="1" applyAlignment="1">
      <alignment horizontal="left" indent="1"/>
    </xf>
    <xf numFmtId="165" fontId="2" fillId="2" borderId="49" xfId="1" applyNumberFormat="1" applyFont="1" applyFill="1" applyBorder="1" applyAlignment="1">
      <alignment horizontal="center"/>
    </xf>
    <xf numFmtId="165" fontId="2" fillId="2" borderId="49" xfId="2" applyNumberFormat="1" applyFont="1" applyFill="1" applyBorder="1" applyAlignment="1">
      <alignment horizontal="center"/>
    </xf>
    <xf numFmtId="0" fontId="2" fillId="2" borderId="49" xfId="0" applyFont="1" applyFill="1" applyBorder="1" applyAlignment="1">
      <alignment horizontal="center"/>
    </xf>
    <xf numFmtId="164" fontId="2" fillId="2" borderId="49" xfId="0" applyNumberFormat="1" applyFont="1" applyFill="1" applyBorder="1" applyAlignment="1">
      <alignment horizontal="center"/>
    </xf>
    <xf numFmtId="166" fontId="2" fillId="2" borderId="38" xfId="1" applyNumberFormat="1" applyFont="1" applyFill="1" applyBorder="1"/>
    <xf numFmtId="0" fontId="0" fillId="2" borderId="50" xfId="0" applyFill="1" applyBorder="1"/>
    <xf numFmtId="164" fontId="2" fillId="0" borderId="51" xfId="2" applyNumberFormat="1" applyFont="1" applyBorder="1"/>
    <xf numFmtId="0" fontId="0" fillId="0" borderId="47" xfId="0" applyBorder="1"/>
    <xf numFmtId="166" fontId="0" fillId="2" borderId="0" xfId="1" applyNumberFormat="1" applyFont="1" applyFill="1" applyBorder="1" applyAlignment="1">
      <alignment horizontal="right"/>
    </xf>
    <xf numFmtId="166" fontId="0" fillId="2" borderId="0" xfId="0" applyNumberFormat="1" applyFill="1" applyAlignment="1">
      <alignment horizontal="right"/>
    </xf>
    <xf numFmtId="166" fontId="2" fillId="2" borderId="1" xfId="1" applyNumberFormat="1" applyFont="1" applyFill="1" applyBorder="1" applyAlignment="1">
      <alignment horizontal="right"/>
    </xf>
    <xf numFmtId="171" fontId="2" fillId="2" borderId="44" xfId="1" applyNumberFormat="1" applyFont="1" applyFill="1" applyBorder="1" applyAlignment="1">
      <alignment horizontal="right"/>
    </xf>
    <xf numFmtId="166" fontId="0" fillId="2" borderId="11" xfId="2" applyNumberFormat="1" applyFont="1" applyFill="1" applyBorder="1" applyAlignment="1">
      <alignment horizontal="right"/>
    </xf>
    <xf numFmtId="166" fontId="2" fillId="2" borderId="11" xfId="1" applyNumberFormat="1" applyFont="1" applyFill="1" applyBorder="1" applyAlignment="1">
      <alignment horizontal="right"/>
    </xf>
    <xf numFmtId="166" fontId="2" fillId="0" borderId="11" xfId="2" applyNumberFormat="1" applyFont="1" applyBorder="1" applyAlignment="1">
      <alignment horizontal="right"/>
    </xf>
    <xf numFmtId="171" fontId="2" fillId="0" borderId="11" xfId="2" applyNumberFormat="1" applyFont="1" applyBorder="1" applyAlignment="1">
      <alignment horizontal="right"/>
    </xf>
    <xf numFmtId="171" fontId="2" fillId="2" borderId="12" xfId="1" applyNumberFormat="1" applyFont="1" applyFill="1" applyBorder="1" applyAlignment="1">
      <alignment horizontal="right"/>
    </xf>
    <xf numFmtId="166" fontId="2" fillId="2" borderId="46" xfId="1" applyNumberFormat="1" applyFont="1" applyFill="1" applyBorder="1" applyAlignment="1">
      <alignment horizontal="right"/>
    </xf>
    <xf numFmtId="0" fontId="2" fillId="2" borderId="22" xfId="0" applyFont="1" applyFill="1" applyBorder="1" applyAlignment="1">
      <alignment horizontal="center"/>
    </xf>
    <xf numFmtId="166" fontId="0" fillId="2" borderId="27" xfId="0" applyNumberFormat="1" applyFill="1" applyBorder="1" applyAlignment="1">
      <alignment horizontal="right"/>
    </xf>
    <xf numFmtId="166" fontId="0" fillId="2" borderId="28" xfId="1" applyNumberFormat="1" applyFont="1" applyFill="1" applyBorder="1" applyAlignment="1">
      <alignment horizontal="right"/>
    </xf>
    <xf numFmtId="166" fontId="0" fillId="2" borderId="29" xfId="0" applyNumberFormat="1" applyFill="1" applyBorder="1" applyAlignment="1">
      <alignment horizontal="right"/>
    </xf>
    <xf numFmtId="166" fontId="0" fillId="2" borderId="30" xfId="1" applyNumberFormat="1" applyFont="1" applyFill="1" applyBorder="1" applyAlignment="1">
      <alignment horizontal="right"/>
    </xf>
    <xf numFmtId="166" fontId="0" fillId="2" borderId="31" xfId="1" applyNumberFormat="1" applyFont="1" applyFill="1" applyBorder="1" applyAlignment="1">
      <alignment horizontal="right"/>
    </xf>
    <xf numFmtId="0" fontId="2" fillId="2" borderId="29" xfId="0" applyFont="1" applyFill="1" applyBorder="1" applyAlignment="1">
      <alignment horizontal="center"/>
    </xf>
    <xf numFmtId="0" fontId="2" fillId="2" borderId="30" xfId="0" quotePrefix="1" applyFont="1" applyFill="1" applyBorder="1" applyAlignment="1">
      <alignment horizontal="center"/>
    </xf>
    <xf numFmtId="9" fontId="2" fillId="2" borderId="31" xfId="0" quotePrefix="1" applyNumberFormat="1" applyFont="1" applyFill="1" applyBorder="1" applyAlignment="1">
      <alignment horizontal="center"/>
    </xf>
    <xf numFmtId="166" fontId="2" fillId="2" borderId="53" xfId="1" applyNumberFormat="1" applyFont="1" applyFill="1" applyBorder="1" applyAlignment="1">
      <alignment horizontal="right"/>
    </xf>
    <xf numFmtId="166" fontId="2" fillId="2" borderId="54" xfId="1" applyNumberFormat="1" applyFont="1" applyFill="1" applyBorder="1" applyAlignment="1">
      <alignment horizontal="right"/>
    </xf>
    <xf numFmtId="0" fontId="2" fillId="2" borderId="30" xfId="0" applyFont="1" applyFill="1" applyBorder="1" applyAlignment="1">
      <alignment horizontal="center"/>
    </xf>
    <xf numFmtId="9" fontId="2" fillId="2" borderId="30" xfId="0" quotePrefix="1" applyNumberFormat="1" applyFont="1" applyFill="1" applyBorder="1" applyAlignment="1">
      <alignment horizontal="center"/>
    </xf>
    <xf numFmtId="164" fontId="2" fillId="2" borderId="20" xfId="2" applyNumberFormat="1" applyFont="1" applyFill="1" applyBorder="1" applyAlignment="1"/>
    <xf numFmtId="164" fontId="2" fillId="2" borderId="22" xfId="2" applyNumberFormat="1" applyFont="1" applyFill="1" applyBorder="1" applyAlignment="1"/>
    <xf numFmtId="164" fontId="2" fillId="2" borderId="40" xfId="2" applyNumberFormat="1" applyFont="1" applyFill="1" applyBorder="1" applyAlignment="1">
      <alignment horizontal="center"/>
    </xf>
    <xf numFmtId="164" fontId="2" fillId="2" borderId="41" xfId="2" applyNumberFormat="1" applyFont="1" applyFill="1" applyBorder="1" applyAlignment="1">
      <alignment horizontal="center"/>
    </xf>
    <xf numFmtId="171" fontId="0" fillId="2" borderId="41" xfId="2" applyNumberFormat="1" applyFont="1" applyFill="1" applyBorder="1" applyAlignment="1">
      <alignment horizontal="right"/>
    </xf>
    <xf numFmtId="171" fontId="0" fillId="2" borderId="55" xfId="2" applyNumberFormat="1" applyFont="1" applyFill="1" applyBorder="1" applyAlignment="1">
      <alignment horizontal="right"/>
    </xf>
    <xf numFmtId="166" fontId="0" fillId="2" borderId="27" xfId="0" applyNumberFormat="1" applyFill="1" applyBorder="1"/>
    <xf numFmtId="166" fontId="2" fillId="3" borderId="56" xfId="1" applyNumberFormat="1" applyFont="1" applyFill="1" applyBorder="1"/>
    <xf numFmtId="166" fontId="0" fillId="2" borderId="28" xfId="1" applyNumberFormat="1" applyFont="1" applyFill="1" applyBorder="1"/>
    <xf numFmtId="166" fontId="2" fillId="3" borderId="57" xfId="1" applyNumberFormat="1" applyFont="1" applyFill="1" applyBorder="1"/>
    <xf numFmtId="166" fontId="2" fillId="3" borderId="56" xfId="1" applyNumberFormat="1" applyFont="1" applyFill="1" applyBorder="1" applyAlignment="1">
      <alignment horizontal="right"/>
    </xf>
    <xf numFmtId="166" fontId="2" fillId="3" borderId="1" xfId="1" applyNumberFormat="1" applyFont="1" applyFill="1" applyBorder="1" applyAlignment="1">
      <alignment horizontal="right"/>
    </xf>
    <xf numFmtId="166" fontId="2" fillId="3" borderId="57" xfId="1" applyNumberFormat="1" applyFont="1" applyFill="1" applyBorder="1" applyAlignment="1">
      <alignment horizontal="right"/>
    </xf>
    <xf numFmtId="171" fontId="0" fillId="2" borderId="11" xfId="2" applyNumberFormat="1" applyFont="1" applyFill="1" applyBorder="1"/>
    <xf numFmtId="171" fontId="2" fillId="3" borderId="42" xfId="1" applyNumberFormat="1" applyFont="1" applyFill="1" applyBorder="1"/>
    <xf numFmtId="166" fontId="0" fillId="2" borderId="21" xfId="0" applyNumberFormat="1" applyFill="1" applyBorder="1" applyAlignment="1">
      <alignment horizontal="right"/>
    </xf>
    <xf numFmtId="166" fontId="0" fillId="2" borderId="20" xfId="1" applyNumberFormat="1" applyFont="1" applyFill="1" applyBorder="1" applyAlignment="1">
      <alignment horizontal="right"/>
    </xf>
    <xf numFmtId="166" fontId="0" fillId="2" borderId="22" xfId="1" applyNumberFormat="1" applyFont="1" applyFill="1" applyBorder="1" applyAlignment="1">
      <alignment horizontal="right"/>
    </xf>
    <xf numFmtId="166" fontId="2" fillId="3" borderId="58" xfId="1" applyNumberFormat="1" applyFont="1" applyFill="1" applyBorder="1" applyAlignment="1">
      <alignment horizontal="right"/>
    </xf>
    <xf numFmtId="166" fontId="2" fillId="3" borderId="46" xfId="1" applyNumberFormat="1" applyFont="1" applyFill="1" applyBorder="1" applyAlignment="1">
      <alignment horizontal="right"/>
    </xf>
    <xf numFmtId="166" fontId="2" fillId="3" borderId="54" xfId="1" applyNumberFormat="1" applyFont="1" applyFill="1" applyBorder="1" applyAlignment="1">
      <alignment horizontal="right"/>
    </xf>
    <xf numFmtId="171" fontId="0" fillId="2" borderId="11" xfId="2" applyNumberFormat="1" applyFont="1" applyFill="1" applyBorder="1" applyAlignment="1">
      <alignment horizontal="right"/>
    </xf>
    <xf numFmtId="171" fontId="0" fillId="2" borderId="13" xfId="2" applyNumberFormat="1" applyFont="1" applyFill="1" applyBorder="1" applyAlignment="1">
      <alignment horizontal="right"/>
    </xf>
    <xf numFmtId="0" fontId="2" fillId="3" borderId="52" xfId="0" applyFont="1" applyFill="1" applyBorder="1"/>
    <xf numFmtId="165" fontId="2" fillId="3" borderId="52" xfId="1" applyNumberFormat="1" applyFont="1" applyFill="1" applyBorder="1"/>
    <xf numFmtId="166" fontId="2" fillId="3" borderId="60" xfId="1" applyNumberFormat="1" applyFont="1" applyFill="1" applyBorder="1" applyAlignment="1">
      <alignment horizontal="right"/>
    </xf>
    <xf numFmtId="166" fontId="2" fillId="3" borderId="59" xfId="1" applyNumberFormat="1" applyFont="1" applyFill="1" applyBorder="1" applyAlignment="1">
      <alignment horizontal="right"/>
    </xf>
    <xf numFmtId="166" fontId="2" fillId="3" borderId="61" xfId="1" applyNumberFormat="1" applyFont="1" applyFill="1" applyBorder="1" applyAlignment="1">
      <alignment horizontal="right"/>
    </xf>
    <xf numFmtId="166" fontId="2" fillId="3" borderId="52" xfId="1" applyNumberFormat="1" applyFont="1" applyFill="1" applyBorder="1" applyAlignment="1">
      <alignment horizontal="right"/>
    </xf>
    <xf numFmtId="171" fontId="2" fillId="2" borderId="62" xfId="2" applyNumberFormat="1" applyFont="1" applyFill="1" applyBorder="1" applyAlignment="1">
      <alignment horizontal="right"/>
    </xf>
    <xf numFmtId="171" fontId="2" fillId="4" borderId="57" xfId="1" applyNumberFormat="1" applyFont="1" applyFill="1" applyBorder="1" applyAlignment="1">
      <alignment horizontal="right"/>
    </xf>
    <xf numFmtId="166" fontId="2" fillId="2" borderId="20" xfId="1" applyNumberFormat="1" applyFont="1" applyFill="1" applyBorder="1" applyAlignment="1">
      <alignment horizontal="center"/>
    </xf>
    <xf numFmtId="164" fontId="2" fillId="2" borderId="20" xfId="2" applyNumberFormat="1" applyFont="1" applyFill="1" applyBorder="1" applyAlignment="1">
      <alignment horizontal="center"/>
    </xf>
    <xf numFmtId="0" fontId="7" fillId="2" borderId="21" xfId="0" applyFont="1" applyFill="1" applyBorder="1"/>
    <xf numFmtId="0" fontId="6" fillId="2" borderId="27" xfId="0" applyFont="1" applyFill="1" applyBorder="1"/>
    <xf numFmtId="0" fontId="0" fillId="2" borderId="27" xfId="0" applyFill="1" applyBorder="1"/>
    <xf numFmtId="0" fontId="2" fillId="2" borderId="56" xfId="0" applyFont="1" applyFill="1" applyBorder="1"/>
    <xf numFmtId="0" fontId="2" fillId="4" borderId="56" xfId="0" applyFont="1" applyFill="1" applyBorder="1"/>
    <xf numFmtId="0" fontId="7" fillId="2" borderId="27" xfId="0" applyFont="1" applyFill="1" applyBorder="1"/>
    <xf numFmtId="0" fontId="2" fillId="2" borderId="63" xfId="0" applyFont="1" applyFill="1" applyBorder="1"/>
    <xf numFmtId="0" fontId="2" fillId="2" borderId="64" xfId="0" applyFont="1" applyFill="1" applyBorder="1"/>
    <xf numFmtId="171" fontId="2" fillId="2" borderId="28" xfId="2" applyNumberFormat="1" applyFont="1" applyFill="1" applyBorder="1" applyAlignment="1">
      <alignment horizontal="right"/>
    </xf>
    <xf numFmtId="171" fontId="2" fillId="2" borderId="65" xfId="2" applyNumberFormat="1" applyFont="1" applyFill="1" applyBorder="1" applyAlignment="1">
      <alignment horizontal="right"/>
    </xf>
    <xf numFmtId="166" fontId="2" fillId="2" borderId="28" xfId="1" applyNumberFormat="1" applyFont="1" applyFill="1" applyBorder="1" applyAlignment="1">
      <alignment horizontal="right"/>
    </xf>
    <xf numFmtId="166" fontId="2" fillId="5" borderId="26" xfId="1" applyNumberFormat="1" applyFont="1" applyFill="1" applyBorder="1" applyAlignment="1">
      <alignment horizontal="right"/>
    </xf>
    <xf numFmtId="166" fontId="2" fillId="2" borderId="26" xfId="1" applyNumberFormat="1" applyFont="1" applyFill="1" applyBorder="1" applyAlignment="1">
      <alignment horizontal="right"/>
    </xf>
    <xf numFmtId="166" fontId="2" fillId="3" borderId="26" xfId="1" applyNumberFormat="1" applyFont="1" applyFill="1" applyBorder="1" applyAlignment="1">
      <alignment horizontal="right"/>
    </xf>
    <xf numFmtId="171" fontId="2" fillId="2" borderId="57" xfId="1" applyNumberFormat="1" applyFont="1" applyFill="1" applyBorder="1" applyAlignment="1">
      <alignment horizontal="right"/>
    </xf>
    <xf numFmtId="171" fontId="2" fillId="3" borderId="66" xfId="1" applyNumberFormat="1" applyFont="1" applyFill="1" applyBorder="1" applyAlignment="1">
      <alignment horizontal="right"/>
    </xf>
    <xf numFmtId="171" fontId="2" fillId="3" borderId="67" xfId="1" applyNumberFormat="1" applyFont="1" applyFill="1" applyBorder="1" applyAlignment="1">
      <alignment horizontal="right"/>
    </xf>
    <xf numFmtId="171" fontId="2" fillId="2" borderId="57" xfId="1" applyNumberFormat="1" applyFont="1" applyFill="1" applyBorder="1"/>
    <xf numFmtId="171" fontId="0" fillId="2" borderId="68" xfId="2" applyNumberFormat="1" applyFont="1" applyFill="1" applyBorder="1" applyAlignment="1">
      <alignment horizontal="right"/>
    </xf>
    <xf numFmtId="171" fontId="9" fillId="2" borderId="68" xfId="2" applyNumberFormat="1" applyFont="1" applyFill="1" applyBorder="1" applyAlignment="1">
      <alignment horizontal="right"/>
    </xf>
    <xf numFmtId="171" fontId="2" fillId="0" borderId="57" xfId="1" applyNumberFormat="1" applyFont="1" applyFill="1" applyBorder="1" applyAlignment="1">
      <alignment horizontal="right"/>
    </xf>
    <xf numFmtId="0" fontId="2" fillId="3" borderId="56" xfId="0" applyFont="1" applyFill="1" applyBorder="1"/>
    <xf numFmtId="0" fontId="2" fillId="5" borderId="25" xfId="0" applyFont="1" applyFill="1" applyBorder="1"/>
    <xf numFmtId="0" fontId="2" fillId="3" borderId="25" xfId="0" applyFont="1" applyFill="1" applyBorder="1"/>
    <xf numFmtId="0" fontId="3" fillId="2" borderId="21" xfId="0" applyFont="1" applyFill="1" applyBorder="1"/>
    <xf numFmtId="0" fontId="2" fillId="3" borderId="53" xfId="0" applyFont="1" applyFill="1" applyBorder="1"/>
    <xf numFmtId="0" fontId="2" fillId="7" borderId="27" xfId="0" applyFont="1" applyFill="1" applyBorder="1"/>
    <xf numFmtId="172" fontId="0" fillId="0" borderId="0" xfId="0" applyNumberFormat="1"/>
    <xf numFmtId="9" fontId="0" fillId="2" borderId="0" xfId="0" applyNumberFormat="1" applyFill="1"/>
    <xf numFmtId="164" fontId="2" fillId="2" borderId="55" xfId="2" applyNumberFormat="1" applyFont="1" applyFill="1" applyBorder="1" applyAlignment="1">
      <alignment horizontal="center"/>
    </xf>
    <xf numFmtId="0" fontId="7" fillId="0" borderId="33" xfId="0" applyFont="1" applyBorder="1"/>
    <xf numFmtId="42" fontId="0" fillId="0" borderId="0" xfId="1" applyNumberFormat="1" applyFont="1"/>
    <xf numFmtId="42" fontId="0" fillId="0" borderId="20" xfId="1" applyNumberFormat="1" applyFont="1" applyBorder="1"/>
    <xf numFmtId="9" fontId="0" fillId="0" borderId="0" xfId="2" applyNumberFormat="1" applyFont="1"/>
    <xf numFmtId="166" fontId="2" fillId="2" borderId="0" xfId="0" applyNumberFormat="1" applyFont="1" applyFill="1" applyAlignment="1">
      <alignment horizontal="right"/>
    </xf>
    <xf numFmtId="171" fontId="2" fillId="2" borderId="26" xfId="2" applyNumberFormat="1" applyFont="1" applyFill="1" applyBorder="1" applyAlignment="1">
      <alignment horizontal="right"/>
    </xf>
    <xf numFmtId="171" fontId="2" fillId="2" borderId="24" xfId="2" applyNumberFormat="1" applyFont="1" applyFill="1" applyBorder="1" applyAlignment="1">
      <alignment horizontal="right"/>
    </xf>
    <xf numFmtId="0" fontId="2" fillId="2" borderId="21" xfId="0" applyFont="1" applyFill="1" applyBorder="1"/>
    <xf numFmtId="166" fontId="2" fillId="2" borderId="20" xfId="1" applyNumberFormat="1" applyFont="1" applyFill="1" applyBorder="1"/>
    <xf numFmtId="166" fontId="2" fillId="2" borderId="20" xfId="1" applyNumberFormat="1" applyFont="1" applyFill="1" applyBorder="1" applyAlignment="1">
      <alignment horizontal="right"/>
    </xf>
    <xf numFmtId="171" fontId="2" fillId="2" borderId="20" xfId="2" applyNumberFormat="1" applyFont="1" applyFill="1" applyBorder="1" applyAlignment="1">
      <alignment horizontal="right"/>
    </xf>
    <xf numFmtId="166" fontId="2" fillId="2" borderId="22" xfId="1" applyNumberFormat="1" applyFont="1" applyFill="1" applyBorder="1" applyAlignment="1">
      <alignment horizontal="right"/>
    </xf>
    <xf numFmtId="0" fontId="2" fillId="2" borderId="29" xfId="0" applyFont="1" applyFill="1" applyBorder="1"/>
    <xf numFmtId="166" fontId="2" fillId="2" borderId="30" xfId="1" applyNumberFormat="1" applyFont="1" applyFill="1" applyBorder="1" applyAlignment="1">
      <alignment horizontal="right"/>
    </xf>
    <xf numFmtId="171" fontId="2" fillId="2" borderId="30" xfId="2" applyNumberFormat="1" applyFont="1" applyFill="1" applyBorder="1" applyAlignment="1">
      <alignment horizontal="right"/>
    </xf>
    <xf numFmtId="166" fontId="2" fillId="2" borderId="31" xfId="1" applyNumberFormat="1" applyFont="1" applyFill="1" applyBorder="1" applyAlignment="1">
      <alignment horizontal="right"/>
    </xf>
    <xf numFmtId="0" fontId="2" fillId="2" borderId="8" xfId="0" applyFont="1" applyFill="1" applyBorder="1"/>
    <xf numFmtId="164" fontId="2" fillId="2" borderId="8" xfId="2" applyNumberFormat="1" applyFont="1" applyFill="1" applyBorder="1" applyAlignment="1">
      <alignment horizontal="center"/>
    </xf>
    <xf numFmtId="166" fontId="2" fillId="2" borderId="8" xfId="1" applyNumberFormat="1" applyFont="1" applyFill="1" applyBorder="1" applyAlignment="1">
      <alignment horizontal="right"/>
    </xf>
    <xf numFmtId="171" fontId="2" fillId="2" borderId="38" xfId="2" applyNumberFormat="1" applyFont="1" applyFill="1" applyBorder="1" applyAlignment="1">
      <alignment horizontal="right"/>
    </xf>
    <xf numFmtId="166" fontId="2" fillId="2" borderId="38" xfId="2" applyNumberFormat="1" applyFont="1" applyFill="1" applyBorder="1" applyAlignment="1">
      <alignment horizontal="right"/>
    </xf>
    <xf numFmtId="0" fontId="2" fillId="0" borderId="0" xfId="0" applyFont="1" applyAlignment="1">
      <alignment horizontal="center" wrapText="1"/>
    </xf>
    <xf numFmtId="44" fontId="0" fillId="2" borderId="0" xfId="0" applyNumberFormat="1" applyFill="1"/>
    <xf numFmtId="0" fontId="2" fillId="2" borderId="69" xfId="0" applyFont="1" applyFill="1" applyBorder="1"/>
    <xf numFmtId="44" fontId="0" fillId="2" borderId="69" xfId="0" applyNumberFormat="1" applyFill="1" applyBorder="1" applyAlignment="1">
      <alignment horizontal="right"/>
    </xf>
    <xf numFmtId="42" fontId="18" fillId="2" borderId="69" xfId="2" applyNumberFormat="1" applyFont="1" applyFill="1" applyBorder="1" applyAlignment="1">
      <alignment horizontal="right"/>
    </xf>
    <xf numFmtId="164" fontId="0" fillId="2" borderId="69" xfId="2" applyNumberFormat="1" applyFont="1" applyFill="1" applyBorder="1" applyAlignment="1">
      <alignment horizontal="right"/>
    </xf>
    <xf numFmtId="0" fontId="16" fillId="2" borderId="69" xfId="0" applyFont="1" applyFill="1" applyBorder="1"/>
    <xf numFmtId="44" fontId="17" fillId="2" borderId="69" xfId="0" applyNumberFormat="1" applyFont="1" applyFill="1" applyBorder="1" applyAlignment="1">
      <alignment horizontal="right"/>
    </xf>
    <xf numFmtId="164" fontId="17" fillId="2" borderId="69" xfId="2" applyNumberFormat="1" applyFont="1" applyFill="1" applyBorder="1" applyAlignment="1">
      <alignment horizontal="right"/>
    </xf>
    <xf numFmtId="164" fontId="0" fillId="2" borderId="69" xfId="0" applyNumberFormat="1" applyFill="1" applyBorder="1" applyAlignment="1">
      <alignment horizontal="right"/>
    </xf>
    <xf numFmtId="44" fontId="0" fillId="2" borderId="40" xfId="0" applyNumberFormat="1" applyFill="1" applyBorder="1" applyAlignment="1">
      <alignment horizontal="right"/>
    </xf>
    <xf numFmtId="42" fontId="18" fillId="2" borderId="40" xfId="2" applyNumberFormat="1" applyFont="1" applyFill="1" applyBorder="1" applyAlignment="1">
      <alignment horizontal="right"/>
    </xf>
    <xf numFmtId="164" fontId="0" fillId="2" borderId="40" xfId="2" applyNumberFormat="1" applyFont="1" applyFill="1" applyBorder="1" applyAlignment="1">
      <alignment horizontal="right"/>
    </xf>
    <xf numFmtId="42" fontId="17" fillId="2" borderId="69" xfId="2" applyNumberFormat="1" applyFont="1" applyFill="1" applyBorder="1" applyAlignment="1">
      <alignment horizontal="right"/>
    </xf>
    <xf numFmtId="164" fontId="0" fillId="0" borderId="0" xfId="0" applyNumberFormat="1" applyAlignment="1">
      <alignment horizontal="right"/>
    </xf>
    <xf numFmtId="171" fontId="0" fillId="0" borderId="0" xfId="0" applyNumberFormat="1" applyAlignment="1">
      <alignment horizontal="right"/>
    </xf>
    <xf numFmtId="173" fontId="0" fillId="0" borderId="0" xfId="0" applyNumberFormat="1" applyAlignment="1">
      <alignment horizontal="right"/>
    </xf>
    <xf numFmtId="173" fontId="0" fillId="0" borderId="20" xfId="0" applyNumberFormat="1" applyBorder="1"/>
    <xf numFmtId="9" fontId="0" fillId="0" borderId="0" xfId="0" applyNumberFormat="1"/>
    <xf numFmtId="0" fontId="5" fillId="0" borderId="0" xfId="0" applyFont="1"/>
    <xf numFmtId="0" fontId="0" fillId="4" borderId="0" xfId="0" applyFill="1"/>
    <xf numFmtId="0" fontId="0" fillId="0" borderId="8" xfId="0" applyBorder="1"/>
    <xf numFmtId="3" fontId="0" fillId="0" borderId="0" xfId="0" applyNumberFormat="1"/>
    <xf numFmtId="0" fontId="29" fillId="0" borderId="84" xfId="6" applyFont="1" applyBorder="1"/>
    <xf numFmtId="0" fontId="1" fillId="0" borderId="16" xfId="6" applyBorder="1"/>
    <xf numFmtId="0" fontId="1" fillId="0" borderId="16" xfId="6" applyBorder="1" applyAlignment="1">
      <alignment horizontal="right"/>
    </xf>
    <xf numFmtId="0" fontId="1" fillId="0" borderId="85" xfId="6" applyBorder="1" applyAlignment="1">
      <alignment horizontal="right"/>
    </xf>
    <xf numFmtId="0" fontId="30" fillId="2" borderId="70" xfId="6" applyFont="1" applyFill="1" applyBorder="1" applyAlignment="1">
      <alignment horizontal="center" vertical="center" wrapText="1"/>
    </xf>
    <xf numFmtId="3" fontId="30" fillId="2" borderId="70" xfId="6" applyNumberFormat="1" applyFont="1" applyFill="1" applyBorder="1" applyAlignment="1">
      <alignment horizontal="center" vertical="center" wrapText="1"/>
    </xf>
    <xf numFmtId="0" fontId="0" fillId="8" borderId="0" xfId="0" applyFill="1"/>
    <xf numFmtId="0" fontId="31" fillId="8" borderId="70" xfId="6" applyFont="1" applyFill="1" applyBorder="1" applyAlignment="1">
      <alignment vertical="center"/>
    </xf>
    <xf numFmtId="0" fontId="31" fillId="8" borderId="70" xfId="6" applyFont="1" applyFill="1" applyBorder="1" applyAlignment="1">
      <alignment vertical="center" wrapText="1"/>
    </xf>
    <xf numFmtId="3" fontId="31" fillId="8" borderId="70" xfId="6" applyNumberFormat="1" applyFont="1" applyFill="1" applyBorder="1" applyAlignment="1">
      <alignment horizontal="center" vertical="center"/>
    </xf>
    <xf numFmtId="164" fontId="19" fillId="8" borderId="70" xfId="7" applyNumberFormat="1" applyFont="1" applyFill="1" applyBorder="1" applyAlignment="1">
      <alignment horizontal="right" vertical="center"/>
    </xf>
    <xf numFmtId="175" fontId="19" fillId="8" borderId="70" xfId="8" applyNumberFormat="1" applyFont="1" applyFill="1" applyBorder="1" applyAlignment="1">
      <alignment horizontal="right" vertical="center"/>
    </xf>
    <xf numFmtId="9" fontId="19" fillId="8" borderId="70" xfId="8" applyFont="1" applyFill="1" applyBorder="1" applyAlignment="1">
      <alignment horizontal="right" vertical="center"/>
    </xf>
    <xf numFmtId="164" fontId="8" fillId="8" borderId="70" xfId="6" applyNumberFormat="1" applyFont="1" applyFill="1" applyBorder="1" applyAlignment="1">
      <alignment horizontal="right" vertical="center"/>
    </xf>
    <xf numFmtId="0" fontId="0" fillId="9" borderId="0" xfId="0" applyFill="1"/>
    <xf numFmtId="0" fontId="31" fillId="9" borderId="70" xfId="6" applyFont="1" applyFill="1" applyBorder="1" applyAlignment="1">
      <alignment vertical="center"/>
    </xf>
    <xf numFmtId="0" fontId="31" fillId="9" borderId="70" xfId="6" applyFont="1" applyFill="1" applyBorder="1" applyAlignment="1">
      <alignment vertical="center" wrapText="1"/>
    </xf>
    <xf numFmtId="3" fontId="31" fillId="9" borderId="70" xfId="6" applyNumberFormat="1" applyFont="1" applyFill="1" applyBorder="1" applyAlignment="1">
      <alignment horizontal="center" vertical="center"/>
    </xf>
    <xf numFmtId="164" fontId="19" fillId="9" borderId="70" xfId="7" applyNumberFormat="1" applyFont="1" applyFill="1" applyBorder="1" applyAlignment="1">
      <alignment horizontal="right" vertical="center"/>
    </xf>
    <xf numFmtId="175" fontId="19" fillId="9" borderId="70" xfId="8" applyNumberFormat="1" applyFont="1" applyFill="1" applyBorder="1" applyAlignment="1">
      <alignment horizontal="right" vertical="center"/>
    </xf>
    <xf numFmtId="9" fontId="19" fillId="9" borderId="70" xfId="8" applyFont="1" applyFill="1" applyBorder="1" applyAlignment="1">
      <alignment horizontal="right" vertical="center"/>
    </xf>
    <xf numFmtId="164" fontId="8" fillId="9" borderId="70" xfId="6" applyNumberFormat="1" applyFont="1" applyFill="1" applyBorder="1" applyAlignment="1">
      <alignment horizontal="right" vertical="center"/>
    </xf>
    <xf numFmtId="0" fontId="31" fillId="4" borderId="70" xfId="6" applyFont="1" applyFill="1" applyBorder="1" applyAlignment="1">
      <alignment vertical="center"/>
    </xf>
    <xf numFmtId="0" fontId="31" fillId="4" borderId="70" xfId="6" applyFont="1" applyFill="1" applyBorder="1" applyAlignment="1">
      <alignment vertical="center" wrapText="1"/>
    </xf>
    <xf numFmtId="3" fontId="31" fillId="4" borderId="70" xfId="6" applyNumberFormat="1" applyFont="1" applyFill="1" applyBorder="1" applyAlignment="1">
      <alignment horizontal="center" vertical="center"/>
    </xf>
    <xf numFmtId="164" fontId="19" fillId="4" borderId="70" xfId="7" applyNumberFormat="1" applyFont="1" applyFill="1" applyBorder="1" applyAlignment="1">
      <alignment horizontal="right" vertical="center"/>
    </xf>
    <xf numFmtId="175" fontId="19" fillId="4" borderId="70" xfId="8" applyNumberFormat="1" applyFont="1" applyFill="1" applyBorder="1" applyAlignment="1">
      <alignment horizontal="right" vertical="center"/>
    </xf>
    <xf numFmtId="9" fontId="19" fillId="4" borderId="70" xfId="8" applyFont="1" applyFill="1" applyBorder="1" applyAlignment="1">
      <alignment horizontal="right" vertical="center"/>
    </xf>
    <xf numFmtId="164" fontId="8" fillId="4" borderId="70" xfId="6" applyNumberFormat="1" applyFont="1" applyFill="1" applyBorder="1" applyAlignment="1">
      <alignment horizontal="right" vertical="center"/>
    </xf>
    <xf numFmtId="0" fontId="0" fillId="10" borderId="0" xfId="0" applyFill="1"/>
    <xf numFmtId="0" fontId="19" fillId="10" borderId="70" xfId="0" applyFont="1" applyFill="1" applyBorder="1"/>
    <xf numFmtId="0" fontId="19" fillId="10" borderId="70" xfId="0" applyFont="1" applyFill="1" applyBorder="1" applyAlignment="1">
      <alignment horizontal="center"/>
    </xf>
    <xf numFmtId="3" fontId="19" fillId="10" borderId="70" xfId="0" applyNumberFormat="1" applyFont="1" applyFill="1" applyBorder="1"/>
    <xf numFmtId="175" fontId="19" fillId="10" borderId="70" xfId="0" applyNumberFormat="1" applyFont="1" applyFill="1" applyBorder="1"/>
    <xf numFmtId="9" fontId="19" fillId="10" borderId="70" xfId="0" applyNumberFormat="1" applyFont="1" applyFill="1" applyBorder="1"/>
    <xf numFmtId="3" fontId="8" fillId="10" borderId="70" xfId="0" applyNumberFormat="1" applyFont="1" applyFill="1" applyBorder="1"/>
    <xf numFmtId="0" fontId="0" fillId="11" borderId="0" xfId="0" applyFill="1"/>
    <xf numFmtId="0" fontId="19" fillId="11" borderId="70" xfId="0" applyFont="1" applyFill="1" applyBorder="1"/>
    <xf numFmtId="0" fontId="19" fillId="11" borderId="70" xfId="0" applyFont="1" applyFill="1" applyBorder="1" applyAlignment="1">
      <alignment horizontal="center"/>
    </xf>
    <xf numFmtId="3" fontId="19" fillId="11" borderId="70" xfId="0" applyNumberFormat="1" applyFont="1" applyFill="1" applyBorder="1"/>
    <xf numFmtId="175" fontId="19" fillId="11" borderId="70" xfId="0" applyNumberFormat="1" applyFont="1" applyFill="1" applyBorder="1"/>
    <xf numFmtId="9" fontId="19" fillId="11" borderId="70" xfId="0" applyNumberFormat="1" applyFont="1" applyFill="1" applyBorder="1"/>
    <xf numFmtId="3" fontId="8" fillId="11" borderId="70" xfId="0" applyNumberFormat="1" applyFont="1" applyFill="1" applyBorder="1"/>
    <xf numFmtId="0" fontId="0" fillId="5" borderId="0" xfId="0" applyFill="1"/>
    <xf numFmtId="0" fontId="19" fillId="5" borderId="70" xfId="0" applyFont="1" applyFill="1" applyBorder="1"/>
    <xf numFmtId="0" fontId="19" fillId="5" borderId="70" xfId="0" applyFont="1" applyFill="1" applyBorder="1" applyAlignment="1">
      <alignment horizontal="center"/>
    </xf>
    <xf numFmtId="3" fontId="19" fillId="5" borderId="70" xfId="0" applyNumberFormat="1" applyFont="1" applyFill="1" applyBorder="1"/>
    <xf numFmtId="175" fontId="19" fillId="5" borderId="70" xfId="0" applyNumberFormat="1" applyFont="1" applyFill="1" applyBorder="1"/>
    <xf numFmtId="9" fontId="19" fillId="5" borderId="70" xfId="0" applyNumberFormat="1" applyFont="1" applyFill="1" applyBorder="1"/>
    <xf numFmtId="3" fontId="8" fillId="5" borderId="70" xfId="0" applyNumberFormat="1" applyFont="1" applyFill="1" applyBorder="1"/>
    <xf numFmtId="0" fontId="19" fillId="5" borderId="86" xfId="0" applyFont="1" applyFill="1" applyBorder="1"/>
    <xf numFmtId="0" fontId="19" fillId="5" borderId="86" xfId="0" applyFont="1" applyFill="1" applyBorder="1" applyAlignment="1">
      <alignment horizontal="center"/>
    </xf>
    <xf numFmtId="3" fontId="19" fillId="5" borderId="86" xfId="0" applyNumberFormat="1" applyFont="1" applyFill="1" applyBorder="1"/>
    <xf numFmtId="175" fontId="19" fillId="5" borderId="86" xfId="0" applyNumberFormat="1" applyFont="1" applyFill="1" applyBorder="1"/>
    <xf numFmtId="9" fontId="19" fillId="5" borderId="86" xfId="0" applyNumberFormat="1" applyFont="1" applyFill="1" applyBorder="1"/>
    <xf numFmtId="3" fontId="8" fillId="5" borderId="86" xfId="0" applyNumberFormat="1" applyFont="1" applyFill="1" applyBorder="1"/>
    <xf numFmtId="0" fontId="0" fillId="6" borderId="0" xfId="0" applyFill="1"/>
    <xf numFmtId="0" fontId="19" fillId="6" borderId="87" xfId="0" applyFont="1" applyFill="1" applyBorder="1"/>
    <xf numFmtId="0" fontId="19" fillId="3" borderId="88" xfId="0" applyFont="1" applyFill="1" applyBorder="1"/>
    <xf numFmtId="0" fontId="19" fillId="3" borderId="89" xfId="0" applyFont="1" applyFill="1" applyBorder="1" applyAlignment="1">
      <alignment horizontal="center"/>
    </xf>
    <xf numFmtId="5" fontId="19" fillId="3" borderId="89" xfId="1" applyNumberFormat="1" applyFont="1" applyFill="1" applyBorder="1" applyAlignment="1"/>
    <xf numFmtId="175" fontId="19" fillId="3" borderId="89" xfId="0" applyNumberFormat="1" applyFont="1" applyFill="1" applyBorder="1"/>
    <xf numFmtId="9" fontId="19" fillId="3" borderId="89" xfId="0" applyNumberFormat="1" applyFont="1" applyFill="1" applyBorder="1"/>
    <xf numFmtId="5" fontId="8" fillId="3" borderId="89" xfId="1" applyNumberFormat="1" applyFont="1" applyFill="1" applyBorder="1" applyAlignment="1"/>
    <xf numFmtId="5" fontId="8" fillId="3" borderId="90" xfId="1" applyNumberFormat="1" applyFont="1" applyFill="1" applyBorder="1" applyAlignment="1"/>
    <xf numFmtId="0" fontId="19" fillId="3" borderId="91" xfId="0" applyFont="1" applyFill="1" applyBorder="1"/>
    <xf numFmtId="0" fontId="19" fillId="3" borderId="92" xfId="0" applyFont="1" applyFill="1" applyBorder="1" applyAlignment="1">
      <alignment horizontal="center"/>
    </xf>
    <xf numFmtId="5" fontId="19" fillId="3" borderId="92" xfId="1" applyNumberFormat="1" applyFont="1" applyFill="1" applyBorder="1" applyAlignment="1"/>
    <xf numFmtId="175" fontId="19" fillId="3" borderId="92" xfId="0" applyNumberFormat="1" applyFont="1" applyFill="1" applyBorder="1"/>
    <xf numFmtId="9" fontId="19" fillId="3" borderId="92" xfId="0" applyNumberFormat="1" applyFont="1" applyFill="1" applyBorder="1"/>
    <xf numFmtId="5" fontId="8" fillId="3" borderId="92" xfId="1" applyNumberFormat="1" applyFont="1" applyFill="1" applyBorder="1" applyAlignment="1"/>
    <xf numFmtId="5" fontId="8" fillId="3" borderId="93" xfId="1" applyNumberFormat="1" applyFont="1" applyFill="1" applyBorder="1" applyAlignment="1"/>
    <xf numFmtId="0" fontId="19" fillId="12" borderId="91" xfId="0" applyFont="1" applyFill="1" applyBorder="1"/>
    <xf numFmtId="0" fontId="19" fillId="12" borderId="92" xfId="0" applyFont="1" applyFill="1" applyBorder="1" applyAlignment="1">
      <alignment horizontal="center"/>
    </xf>
    <xf numFmtId="5" fontId="19" fillId="12" borderId="92" xfId="1" applyNumberFormat="1" applyFont="1" applyFill="1" applyBorder="1" applyAlignment="1"/>
    <xf numFmtId="175" fontId="19" fillId="12" borderId="92" xfId="0" applyNumberFormat="1" applyFont="1" applyFill="1" applyBorder="1"/>
    <xf numFmtId="9" fontId="19" fillId="12" borderId="92" xfId="0" applyNumberFormat="1" applyFont="1" applyFill="1" applyBorder="1"/>
    <xf numFmtId="5" fontId="8" fillId="12" borderId="92" xfId="1" applyNumberFormat="1" applyFont="1" applyFill="1" applyBorder="1" applyAlignment="1"/>
    <xf numFmtId="5" fontId="8" fillId="12" borderId="93" xfId="1" applyNumberFormat="1" applyFont="1" applyFill="1" applyBorder="1" applyAlignment="1"/>
    <xf numFmtId="170" fontId="0" fillId="0" borderId="0" xfId="0" applyNumberFormat="1"/>
    <xf numFmtId="0" fontId="17" fillId="0" borderId="0" xfId="0" applyFont="1"/>
    <xf numFmtId="0" fontId="32" fillId="0" borderId="0" xfId="9"/>
    <xf numFmtId="0" fontId="0" fillId="14" borderId="0" xfId="0" applyFill="1"/>
    <xf numFmtId="0" fontId="20" fillId="13" borderId="94" xfId="0" applyFont="1" applyFill="1" applyBorder="1" applyAlignment="1">
      <alignment horizontal="left"/>
    </xf>
    <xf numFmtId="0" fontId="20" fillId="13" borderId="95" xfId="0" applyFont="1" applyFill="1" applyBorder="1"/>
    <xf numFmtId="0" fontId="20" fillId="13" borderId="96" xfId="0" applyFont="1" applyFill="1" applyBorder="1"/>
    <xf numFmtId="0" fontId="20" fillId="13" borderId="97" xfId="0" applyFont="1" applyFill="1" applyBorder="1"/>
    <xf numFmtId="0" fontId="0" fillId="15" borderId="0" xfId="0" applyFill="1"/>
    <xf numFmtId="0" fontId="2" fillId="0" borderId="98" xfId="0" applyFont="1" applyBorder="1"/>
    <xf numFmtId="0" fontId="2" fillId="0" borderId="87" xfId="0" applyFont="1" applyBorder="1"/>
    <xf numFmtId="0" fontId="0" fillId="0" borderId="70" xfId="0" applyBorder="1"/>
    <xf numFmtId="0" fontId="2" fillId="0" borderId="9" xfId="0" applyFont="1" applyBorder="1"/>
    <xf numFmtId="0" fontId="2" fillId="0" borderId="99" xfId="0" applyFont="1" applyBorder="1"/>
    <xf numFmtId="0" fontId="2" fillId="0" borderId="100" xfId="0" applyFont="1" applyBorder="1" applyAlignment="1">
      <alignment horizontal="center"/>
    </xf>
    <xf numFmtId="0" fontId="0" fillId="0" borderId="101" xfId="0" applyBorder="1"/>
    <xf numFmtId="0" fontId="0" fillId="0" borderId="2" xfId="0" applyBorder="1"/>
    <xf numFmtId="3" fontId="9" fillId="14" borderId="3" xfId="0" applyNumberFormat="1" applyFont="1" applyFill="1" applyBorder="1"/>
    <xf numFmtId="0" fontId="2" fillId="0" borderId="2" xfId="0" applyFont="1" applyBorder="1"/>
    <xf numFmtId="3" fontId="9" fillId="14" borderId="76" xfId="0" applyNumberFormat="1" applyFont="1" applyFill="1" applyBorder="1"/>
    <xf numFmtId="0" fontId="0" fillId="0" borderId="84" xfId="0" applyBorder="1"/>
    <xf numFmtId="3" fontId="9" fillId="14" borderId="85" xfId="0" applyNumberFormat="1" applyFont="1" applyFill="1" applyBorder="1"/>
    <xf numFmtId="0" fontId="2" fillId="0" borderId="84" xfId="0" applyFont="1" applyBorder="1"/>
    <xf numFmtId="0" fontId="2" fillId="0" borderId="16" xfId="0" applyFont="1" applyBorder="1"/>
    <xf numFmtId="3" fontId="9" fillId="14" borderId="75" xfId="0" applyNumberFormat="1" applyFont="1" applyFill="1" applyBorder="1"/>
    <xf numFmtId="0" fontId="2" fillId="0" borderId="101" xfId="0" applyFont="1" applyBorder="1"/>
    <xf numFmtId="0" fontId="0" fillId="0" borderId="102" xfId="0" applyBorder="1"/>
    <xf numFmtId="3" fontId="2" fillId="0" borderId="7" xfId="0" applyNumberFormat="1" applyFont="1" applyBorder="1"/>
    <xf numFmtId="0" fontId="2" fillId="0" borderId="7" xfId="0" applyFont="1" applyBorder="1"/>
    <xf numFmtId="0" fontId="0" fillId="0" borderId="103" xfId="0" applyBorder="1"/>
    <xf numFmtId="0" fontId="0" fillId="0" borderId="83" xfId="0" applyBorder="1"/>
    <xf numFmtId="3" fontId="9" fillId="14" borderId="104" xfId="0" applyNumberFormat="1" applyFont="1" applyFill="1" applyBorder="1"/>
    <xf numFmtId="0" fontId="2" fillId="15" borderId="95" xfId="0" applyFont="1" applyFill="1" applyBorder="1"/>
    <xf numFmtId="0" fontId="0" fillId="15" borderId="89" xfId="0" applyFill="1" applyBorder="1"/>
    <xf numFmtId="0" fontId="2" fillId="0" borderId="89" xfId="0" applyFont="1" applyBorder="1"/>
    <xf numFmtId="0" fontId="2" fillId="0" borderId="90" xfId="0" applyFont="1" applyBorder="1"/>
    <xf numFmtId="0" fontId="2" fillId="0" borderId="95" xfId="0" applyFont="1" applyBorder="1"/>
    <xf numFmtId="0" fontId="0" fillId="0" borderId="96" xfId="0" applyBorder="1"/>
    <xf numFmtId="0" fontId="0" fillId="0" borderId="105" xfId="0" applyBorder="1"/>
    <xf numFmtId="0" fontId="0" fillId="0" borderId="74" xfId="0" applyBorder="1"/>
    <xf numFmtId="170" fontId="0" fillId="15" borderId="0" xfId="0" applyNumberFormat="1" applyFill="1"/>
    <xf numFmtId="170" fontId="0" fillId="0" borderId="3" xfId="0" applyNumberFormat="1" applyBorder="1"/>
    <xf numFmtId="170" fontId="0" fillId="0" borderId="7" xfId="0" applyNumberFormat="1" applyBorder="1"/>
    <xf numFmtId="3" fontId="0" fillId="0" borderId="13" xfId="0" applyNumberFormat="1" applyBorder="1"/>
    <xf numFmtId="170" fontId="0" fillId="0" borderId="4" xfId="0" applyNumberFormat="1" applyBorder="1"/>
    <xf numFmtId="170" fontId="2" fillId="0" borderId="7" xfId="0" applyNumberFormat="1" applyFont="1" applyBorder="1"/>
    <xf numFmtId="170" fontId="2" fillId="0" borderId="0" xfId="0" applyNumberFormat="1" applyFont="1"/>
    <xf numFmtId="0" fontId="0" fillId="0" borderId="78" xfId="0" applyBorder="1"/>
    <xf numFmtId="3" fontId="0" fillId="0" borderId="70" xfId="0" applyNumberFormat="1" applyBorder="1"/>
    <xf numFmtId="0" fontId="0" fillId="0" borderId="79" xfId="0" applyBorder="1"/>
    <xf numFmtId="170" fontId="2" fillId="0" borderId="8" xfId="0" applyNumberFormat="1" applyFont="1" applyBorder="1"/>
    <xf numFmtId="170" fontId="2" fillId="15" borderId="104" xfId="0" applyNumberFormat="1" applyFont="1" applyFill="1" applyBorder="1"/>
    <xf numFmtId="0" fontId="20" fillId="13" borderId="94" xfId="0" applyFont="1" applyFill="1" applyBorder="1"/>
    <xf numFmtId="0" fontId="9" fillId="13" borderId="106" xfId="0" applyFont="1" applyFill="1" applyBorder="1"/>
    <xf numFmtId="0" fontId="9" fillId="13" borderId="107" xfId="0" applyFont="1" applyFill="1" applyBorder="1"/>
    <xf numFmtId="0" fontId="0" fillId="0" borderId="108" xfId="0" applyBorder="1"/>
    <xf numFmtId="0" fontId="2" fillId="0" borderId="109" xfId="0" applyFont="1" applyBorder="1"/>
    <xf numFmtId="0" fontId="0" fillId="0" borderId="109" xfId="0" applyBorder="1"/>
    <xf numFmtId="0" fontId="0" fillId="0" borderId="110" xfId="0" applyBorder="1"/>
    <xf numFmtId="0" fontId="2" fillId="0" borderId="80" xfId="0" applyFont="1" applyBorder="1" applyAlignment="1">
      <alignment horizontal="center"/>
    </xf>
    <xf numFmtId="0" fontId="2" fillId="11" borderId="80" xfId="0" applyFont="1" applyFill="1" applyBorder="1" applyAlignment="1">
      <alignment horizontal="center"/>
    </xf>
    <xf numFmtId="0" fontId="0" fillId="0" borderId="13" xfId="0" applyBorder="1"/>
    <xf numFmtId="9" fontId="0" fillId="0" borderId="13" xfId="0" applyNumberFormat="1" applyBorder="1"/>
    <xf numFmtId="9" fontId="0" fillId="0" borderId="84" xfId="0" applyNumberFormat="1" applyBorder="1"/>
    <xf numFmtId="9" fontId="0" fillId="0" borderId="111" xfId="0" applyNumberFormat="1" applyBorder="1"/>
    <xf numFmtId="9" fontId="0" fillId="11" borderId="111" xfId="0" applyNumberFormat="1" applyFill="1" applyBorder="1"/>
    <xf numFmtId="9" fontId="0" fillId="0" borderId="70" xfId="0" applyNumberFormat="1" applyBorder="1"/>
    <xf numFmtId="9" fontId="0" fillId="0" borderId="87" xfId="0" applyNumberFormat="1" applyBorder="1"/>
    <xf numFmtId="9" fontId="0" fillId="11" borderId="112" xfId="0" applyNumberFormat="1" applyFill="1" applyBorder="1"/>
    <xf numFmtId="0" fontId="0" fillId="0" borderId="70" xfId="0" applyBorder="1" applyAlignment="1">
      <alignment horizontal="right"/>
    </xf>
    <xf numFmtId="3" fontId="2" fillId="0" borderId="70" xfId="0" applyNumberFormat="1" applyFont="1" applyBorder="1"/>
    <xf numFmtId="0" fontId="0" fillId="6" borderId="70" xfId="0" applyFill="1" applyBorder="1"/>
    <xf numFmtId="0" fontId="0" fillId="6" borderId="13" xfId="0" applyFill="1" applyBorder="1"/>
    <xf numFmtId="0" fontId="2" fillId="11" borderId="17" xfId="0" applyFont="1" applyFill="1" applyBorder="1"/>
    <xf numFmtId="0" fontId="0" fillId="11" borderId="18" xfId="0" applyFill="1" applyBorder="1"/>
    <xf numFmtId="0" fontId="0" fillId="11" borderId="19" xfId="0" applyFill="1" applyBorder="1"/>
    <xf numFmtId="0" fontId="2" fillId="11" borderId="88" xfId="0" applyFont="1" applyFill="1" applyBorder="1"/>
    <xf numFmtId="0" fontId="0" fillId="11" borderId="89" xfId="0" applyFill="1" applyBorder="1"/>
    <xf numFmtId="0" fontId="0" fillId="11" borderId="90" xfId="0" applyFill="1" applyBorder="1"/>
    <xf numFmtId="0" fontId="0" fillId="11" borderId="13" xfId="0" applyFill="1" applyBorder="1"/>
    <xf numFmtId="0" fontId="0" fillId="11" borderId="13" xfId="0" applyFill="1" applyBorder="1" applyAlignment="1">
      <alignment horizontal="center"/>
    </xf>
    <xf numFmtId="0" fontId="0" fillId="11" borderId="113" xfId="0" applyFill="1" applyBorder="1"/>
    <xf numFmtId="0" fontId="0" fillId="11" borderId="70" xfId="0" applyFill="1" applyBorder="1" applyAlignment="1">
      <alignment horizontal="center"/>
    </xf>
    <xf numFmtId="0" fontId="0" fillId="11" borderId="114" xfId="0" applyFill="1" applyBorder="1"/>
    <xf numFmtId="0" fontId="2" fillId="11" borderId="70" xfId="0" applyFont="1" applyFill="1" applyBorder="1"/>
    <xf numFmtId="170" fontId="0" fillId="14" borderId="70" xfId="0" applyNumberFormat="1" applyFill="1" applyBorder="1"/>
    <xf numFmtId="170" fontId="0" fillId="11" borderId="70" xfId="0" applyNumberFormat="1" applyFill="1" applyBorder="1"/>
    <xf numFmtId="0" fontId="2" fillId="11" borderId="113" xfId="0" applyFont="1" applyFill="1" applyBorder="1"/>
    <xf numFmtId="170" fontId="0" fillId="11" borderId="114" xfId="0" applyNumberFormat="1" applyFill="1" applyBorder="1"/>
    <xf numFmtId="0" fontId="0" fillId="11" borderId="70" xfId="0" applyFill="1" applyBorder="1" applyAlignment="1">
      <alignment horizontal="right"/>
    </xf>
    <xf numFmtId="3" fontId="2" fillId="11" borderId="70" xfId="0" applyNumberFormat="1" applyFont="1" applyFill="1" applyBorder="1"/>
    <xf numFmtId="0" fontId="0" fillId="11" borderId="91" xfId="0" applyFill="1" applyBorder="1" applyAlignment="1">
      <alignment horizontal="right"/>
    </xf>
    <xf numFmtId="3" fontId="2" fillId="11" borderId="92" xfId="0" applyNumberFormat="1" applyFont="1" applyFill="1" applyBorder="1"/>
    <xf numFmtId="170" fontId="2" fillId="11" borderId="93" xfId="0" applyNumberFormat="1" applyFont="1" applyFill="1" applyBorder="1"/>
    <xf numFmtId="3" fontId="2" fillId="0" borderId="0" xfId="0" applyNumberFormat="1" applyFont="1"/>
    <xf numFmtId="0" fontId="34" fillId="0" borderId="0" xfId="0" applyFont="1"/>
    <xf numFmtId="170" fontId="35" fillId="16" borderId="93" xfId="0" applyNumberFormat="1" applyFont="1" applyFill="1" applyBorder="1"/>
    <xf numFmtId="170" fontId="35" fillId="16" borderId="92" xfId="0" applyNumberFormat="1" applyFont="1" applyFill="1" applyBorder="1"/>
    <xf numFmtId="0" fontId="34" fillId="16" borderId="91" xfId="0" applyFont="1" applyFill="1" applyBorder="1" applyAlignment="1">
      <alignment horizontal="right"/>
    </xf>
    <xf numFmtId="0" fontId="35" fillId="17" borderId="91" xfId="0" applyFont="1" applyFill="1" applyBorder="1"/>
    <xf numFmtId="170" fontId="34" fillId="0" borderId="0" xfId="0" applyNumberFormat="1" applyFont="1"/>
    <xf numFmtId="170" fontId="34" fillId="16" borderId="114" xfId="0" applyNumberFormat="1" applyFont="1" applyFill="1" applyBorder="1"/>
    <xf numFmtId="170" fontId="34" fillId="16" borderId="70" xfId="0" applyNumberFormat="1" applyFont="1" applyFill="1" applyBorder="1"/>
    <xf numFmtId="0" fontId="35" fillId="16" borderId="113" xfId="0" applyFont="1" applyFill="1" applyBorder="1"/>
    <xf numFmtId="0" fontId="35" fillId="17" borderId="113" xfId="0" applyFont="1" applyFill="1" applyBorder="1"/>
    <xf numFmtId="0" fontId="34" fillId="17" borderId="113" xfId="0" applyFont="1" applyFill="1" applyBorder="1"/>
    <xf numFmtId="0" fontId="34" fillId="16" borderId="114" xfId="0" applyFont="1" applyFill="1" applyBorder="1"/>
    <xf numFmtId="0" fontId="34" fillId="16" borderId="70" xfId="0" applyFont="1" applyFill="1" applyBorder="1" applyAlignment="1">
      <alignment horizontal="center"/>
    </xf>
    <xf numFmtId="0" fontId="34" fillId="16" borderId="113" xfId="0" applyFont="1" applyFill="1" applyBorder="1"/>
    <xf numFmtId="0" fontId="34" fillId="16" borderId="90" xfId="0" applyFont="1" applyFill="1" applyBorder="1"/>
    <xf numFmtId="0" fontId="34" fillId="16" borderId="89" xfId="0" applyFont="1" applyFill="1" applyBorder="1"/>
    <xf numFmtId="0" fontId="35" fillId="16" borderId="88" xfId="0" applyFont="1" applyFill="1" applyBorder="1"/>
    <xf numFmtId="0" fontId="34" fillId="17" borderId="90" xfId="0" applyFont="1" applyFill="1" applyBorder="1"/>
    <xf numFmtId="0" fontId="34" fillId="17" borderId="89" xfId="0" applyFont="1" applyFill="1" applyBorder="1"/>
    <xf numFmtId="0" fontId="35" fillId="17" borderId="88" xfId="0" applyFont="1" applyFill="1" applyBorder="1"/>
    <xf numFmtId="0" fontId="34" fillId="18" borderId="13" xfId="0" applyFont="1" applyFill="1" applyBorder="1"/>
    <xf numFmtId="0" fontId="34" fillId="18" borderId="70" xfId="0" applyFont="1" applyFill="1" applyBorder="1"/>
    <xf numFmtId="3" fontId="35" fillId="0" borderId="70" xfId="0" applyNumberFormat="1" applyFont="1" applyBorder="1"/>
    <xf numFmtId="0" fontId="34" fillId="0" borderId="70" xfId="0" applyFont="1" applyBorder="1" applyAlignment="1">
      <alignment horizontal="right"/>
    </xf>
    <xf numFmtId="9" fontId="34" fillId="0" borderId="0" xfId="0" applyNumberFormat="1" applyFont="1"/>
    <xf numFmtId="9" fontId="34" fillId="16" borderId="112" xfId="0" applyNumberFormat="1" applyFont="1" applyFill="1" applyBorder="1"/>
    <xf numFmtId="9" fontId="34" fillId="0" borderId="111" xfId="0" applyNumberFormat="1" applyFont="1" applyBorder="1"/>
    <xf numFmtId="9" fontId="34" fillId="0" borderId="87" xfId="0" applyNumberFormat="1" applyFont="1" applyBorder="1"/>
    <xf numFmtId="3" fontId="34" fillId="0" borderId="70" xfId="0" applyNumberFormat="1" applyFont="1" applyBorder="1"/>
    <xf numFmtId="9" fontId="34" fillId="0" borderId="70" xfId="0" applyNumberFormat="1" applyFont="1" applyBorder="1"/>
    <xf numFmtId="0" fontId="34" fillId="0" borderId="70" xfId="0" applyFont="1" applyBorder="1"/>
    <xf numFmtId="9" fontId="34" fillId="16" borderId="111" xfId="0" applyNumberFormat="1" applyFont="1" applyFill="1" applyBorder="1"/>
    <xf numFmtId="9" fontId="34" fillId="0" borderId="84" xfId="0" applyNumberFormat="1" applyFont="1" applyBorder="1"/>
    <xf numFmtId="3" fontId="34" fillId="0" borderId="13" xfId="0" applyNumberFormat="1" applyFont="1" applyBorder="1"/>
    <xf numFmtId="9" fontId="34" fillId="0" borderId="13" xfId="0" applyNumberFormat="1" applyFont="1" applyBorder="1"/>
    <xf numFmtId="0" fontId="34" fillId="0" borderId="13" xfId="0" applyFont="1" applyBorder="1"/>
    <xf numFmtId="0" fontId="35" fillId="0" borderId="0" xfId="0" applyFont="1" applyAlignment="1">
      <alignment horizontal="center"/>
    </xf>
    <xf numFmtId="0" fontId="35" fillId="16" borderId="80" xfId="0" applyFont="1" applyFill="1" applyBorder="1" applyAlignment="1">
      <alignment horizontal="center"/>
    </xf>
    <xf numFmtId="3" fontId="34" fillId="0" borderId="0" xfId="0" applyNumberFormat="1" applyFont="1"/>
    <xf numFmtId="170" fontId="35" fillId="0" borderId="0" xfId="0" applyNumberFormat="1" applyFont="1"/>
    <xf numFmtId="170" fontId="35" fillId="20" borderId="104" xfId="0" applyNumberFormat="1" applyFont="1" applyFill="1" applyBorder="1"/>
    <xf numFmtId="170" fontId="35" fillId="0" borderId="8" xfId="0" applyNumberFormat="1" applyFont="1" applyBorder="1"/>
    <xf numFmtId="0" fontId="34" fillId="0" borderId="78" xfId="0" applyFont="1" applyBorder="1"/>
    <xf numFmtId="0" fontId="34" fillId="0" borderId="79" xfId="0" applyFont="1" applyBorder="1"/>
    <xf numFmtId="0" fontId="34" fillId="0" borderId="8" xfId="0" applyFont="1" applyBorder="1"/>
    <xf numFmtId="170" fontId="35" fillId="0" borderId="7" xfId="0" applyNumberFormat="1" applyFont="1" applyBorder="1"/>
    <xf numFmtId="170" fontId="34" fillId="0" borderId="4" xfId="0" applyNumberFormat="1" applyFont="1" applyBorder="1"/>
    <xf numFmtId="170" fontId="34" fillId="20" borderId="0" xfId="0" applyNumberFormat="1" applyFont="1" applyFill="1"/>
    <xf numFmtId="0" fontId="34" fillId="0" borderId="74" xfId="0" applyFont="1" applyBorder="1"/>
    <xf numFmtId="0" fontId="34" fillId="0" borderId="7" xfId="0" applyFont="1" applyBorder="1"/>
    <xf numFmtId="170" fontId="34" fillId="0" borderId="7" xfId="0" applyNumberFormat="1" applyFont="1" applyBorder="1"/>
    <xf numFmtId="170" fontId="34" fillId="0" borderId="3" xfId="0" applyNumberFormat="1" applyFont="1" applyBorder="1"/>
    <xf numFmtId="0" fontId="34" fillId="0" borderId="105" xfId="0" applyFont="1" applyBorder="1"/>
    <xf numFmtId="0" fontId="34" fillId="0" borderId="96" xfId="0" applyFont="1" applyBorder="1"/>
    <xf numFmtId="0" fontId="35" fillId="0" borderId="95" xfId="0" applyFont="1" applyBorder="1"/>
    <xf numFmtId="0" fontId="35" fillId="0" borderId="90" xfId="0" applyFont="1" applyBorder="1"/>
    <xf numFmtId="0" fontId="35" fillId="0" borderId="89" xfId="0" applyFont="1" applyBorder="1"/>
    <xf numFmtId="0" fontId="34" fillId="20" borderId="89" xfId="0" applyFont="1" applyFill="1" applyBorder="1"/>
    <xf numFmtId="0" fontId="35" fillId="20" borderId="95" xfId="0" applyFont="1" applyFill="1" applyBorder="1"/>
    <xf numFmtId="3" fontId="37" fillId="21" borderId="104" xfId="0" applyNumberFormat="1" applyFont="1" applyFill="1" applyBorder="1"/>
    <xf numFmtId="0" fontId="34" fillId="0" borderId="83" xfId="0" applyFont="1" applyBorder="1"/>
    <xf numFmtId="0" fontId="34" fillId="0" borderId="103" xfId="0" applyFont="1" applyBorder="1"/>
    <xf numFmtId="0" fontId="35" fillId="0" borderId="0" xfId="0" applyFont="1"/>
    <xf numFmtId="0" fontId="35" fillId="0" borderId="7" xfId="0" applyFont="1" applyBorder="1"/>
    <xf numFmtId="3" fontId="37" fillId="21" borderId="3" xfId="0" applyNumberFormat="1" applyFont="1" applyFill="1" applyBorder="1"/>
    <xf numFmtId="0" fontId="34" fillId="0" borderId="2" xfId="0" applyFont="1" applyBorder="1"/>
    <xf numFmtId="0" fontId="34" fillId="0" borderId="101" xfId="0" applyFont="1" applyBorder="1"/>
    <xf numFmtId="3" fontId="35" fillId="0" borderId="7" xfId="0" applyNumberFormat="1" applyFont="1" applyBorder="1"/>
    <xf numFmtId="0" fontId="34" fillId="0" borderId="102" xfId="0" applyFont="1" applyBorder="1"/>
    <xf numFmtId="0" fontId="35" fillId="0" borderId="87" xfId="0" applyFont="1" applyBorder="1"/>
    <xf numFmtId="0" fontId="35" fillId="0" borderId="101" xfId="0" applyFont="1" applyBorder="1"/>
    <xf numFmtId="3" fontId="37" fillId="21" borderId="75" xfId="0" applyNumberFormat="1" applyFont="1" applyFill="1" applyBorder="1"/>
    <xf numFmtId="0" fontId="35" fillId="0" borderId="16" xfId="0" applyFont="1" applyBorder="1"/>
    <xf numFmtId="0" fontId="35" fillId="0" borderId="84" xfId="0" applyFont="1" applyBorder="1"/>
    <xf numFmtId="3" fontId="37" fillId="21" borderId="85" xfId="0" applyNumberFormat="1" applyFont="1" applyFill="1" applyBorder="1"/>
    <xf numFmtId="0" fontId="34" fillId="0" borderId="84" xfId="0" applyFont="1" applyBorder="1"/>
    <xf numFmtId="0" fontId="39" fillId="0" borderId="0" xfId="9" applyFont="1" applyFill="1" applyBorder="1"/>
    <xf numFmtId="3" fontId="37" fillId="21" borderId="76" xfId="0" applyNumberFormat="1" applyFont="1" applyFill="1" applyBorder="1"/>
    <xf numFmtId="0" fontId="35" fillId="0" borderId="9" xfId="0" applyFont="1" applyBorder="1"/>
    <xf numFmtId="0" fontId="35" fillId="0" borderId="2" xfId="0" applyFont="1" applyBorder="1"/>
    <xf numFmtId="0" fontId="35" fillId="0" borderId="100" xfId="0" applyFont="1" applyBorder="1" applyAlignment="1">
      <alignment horizontal="center"/>
    </xf>
    <xf numFmtId="0" fontId="35" fillId="0" borderId="99" xfId="0" applyFont="1" applyBorder="1"/>
    <xf numFmtId="0" fontId="35" fillId="0" borderId="98" xfId="0" applyFont="1" applyBorder="1"/>
    <xf numFmtId="0" fontId="38" fillId="19" borderId="97" xfId="0" applyFont="1" applyFill="1" applyBorder="1"/>
    <xf numFmtId="0" fontId="38" fillId="19" borderId="96" xfId="0" applyFont="1" applyFill="1" applyBorder="1"/>
    <xf numFmtId="0" fontId="38" fillId="19" borderId="95" xfId="0" applyFont="1" applyFill="1" applyBorder="1"/>
    <xf numFmtId="0" fontId="38" fillId="19" borderId="94" xfId="0" applyFont="1" applyFill="1" applyBorder="1" applyAlignment="1">
      <alignment horizontal="left"/>
    </xf>
    <xf numFmtId="0" fontId="40" fillId="0" borderId="0" xfId="0" applyFont="1"/>
    <xf numFmtId="166" fontId="34" fillId="0" borderId="0" xfId="1" applyNumberFormat="1" applyFont="1" applyFill="1" applyBorder="1"/>
    <xf numFmtId="0" fontId="35" fillId="0" borderId="0" xfId="0" applyFont="1" applyAlignment="1">
      <alignment horizontal="right"/>
    </xf>
    <xf numFmtId="166" fontId="35" fillId="0" borderId="0" xfId="1" applyNumberFormat="1" applyFont="1" applyFill="1" applyBorder="1"/>
    <xf numFmtId="17" fontId="35" fillId="0" borderId="0" xfId="0" applyNumberFormat="1" applyFont="1" applyAlignment="1">
      <alignment horizontal="center"/>
    </xf>
    <xf numFmtId="0" fontId="41" fillId="0" borderId="0" xfId="0" applyFont="1"/>
    <xf numFmtId="164" fontId="35" fillId="0" borderId="70" xfId="0" applyNumberFormat="1" applyFont="1" applyBorder="1"/>
    <xf numFmtId="164" fontId="35" fillId="0" borderId="1" xfId="0" applyNumberFormat="1" applyFont="1" applyBorder="1"/>
    <xf numFmtId="0" fontId="35" fillId="0" borderId="1" xfId="0" applyFont="1" applyBorder="1"/>
    <xf numFmtId="0" fontId="35" fillId="0" borderId="70" xfId="0" applyFont="1" applyBorder="1"/>
    <xf numFmtId="164" fontId="35" fillId="0" borderId="70" xfId="2" applyNumberFormat="1" applyFont="1" applyFill="1" applyBorder="1"/>
    <xf numFmtId="164" fontId="35" fillId="0" borderId="99" xfId="2" applyNumberFormat="1" applyFont="1" applyFill="1" applyBorder="1"/>
    <xf numFmtId="176" fontId="35" fillId="0" borderId="70" xfId="0" applyNumberFormat="1" applyFont="1" applyBorder="1" applyAlignment="1">
      <alignment horizontal="left"/>
    </xf>
    <xf numFmtId="164" fontId="34" fillId="0" borderId="11" xfId="2" applyNumberFormat="1" applyFont="1" applyFill="1" applyBorder="1"/>
    <xf numFmtId="164" fontId="34" fillId="0" borderId="0" xfId="0" applyNumberFormat="1" applyFont="1"/>
    <xf numFmtId="164" fontId="34" fillId="0" borderId="0" xfId="2" applyNumberFormat="1" applyFont="1" applyFill="1" applyBorder="1"/>
    <xf numFmtId="0" fontId="34" fillId="0" borderId="11" xfId="0" applyFont="1" applyBorder="1"/>
    <xf numFmtId="164" fontId="34" fillId="0" borderId="70" xfId="2" applyNumberFormat="1" applyFont="1" applyFill="1" applyBorder="1"/>
    <xf numFmtId="164" fontId="34" fillId="0" borderId="99" xfId="0" applyNumberFormat="1" applyFont="1" applyBorder="1"/>
    <xf numFmtId="164" fontId="34" fillId="0" borderId="99" xfId="2" applyNumberFormat="1" applyFont="1" applyFill="1" applyBorder="1"/>
    <xf numFmtId="0" fontId="34" fillId="0" borderId="99" xfId="0" applyFont="1" applyBorder="1"/>
    <xf numFmtId="164" fontId="34" fillId="0" borderId="86" xfId="2" applyNumberFormat="1" applyFont="1" applyFill="1" applyBorder="1"/>
    <xf numFmtId="164" fontId="35" fillId="0" borderId="102" xfId="0" applyNumberFormat="1" applyFont="1" applyBorder="1" applyAlignment="1">
      <alignment horizontal="center"/>
    </xf>
    <xf numFmtId="164" fontId="35" fillId="0" borderId="99" xfId="0" applyNumberFormat="1" applyFont="1" applyBorder="1"/>
    <xf numFmtId="44" fontId="35" fillId="0" borderId="0" xfId="0" applyNumberFormat="1" applyFont="1"/>
    <xf numFmtId="44" fontId="35" fillId="0" borderId="0" xfId="2" applyFont="1" applyFill="1" applyBorder="1"/>
    <xf numFmtId="164" fontId="35" fillId="0" borderId="0" xfId="0" applyNumberFormat="1" applyFont="1"/>
    <xf numFmtId="164" fontId="35" fillId="0" borderId="0" xfId="2" applyNumberFormat="1" applyFont="1" applyFill="1" applyBorder="1"/>
    <xf numFmtId="44" fontId="35" fillId="0" borderId="1" xfId="0" applyNumberFormat="1" applyFont="1" applyBorder="1"/>
    <xf numFmtId="44" fontId="35" fillId="0" borderId="1" xfId="2" applyFont="1" applyFill="1" applyBorder="1"/>
    <xf numFmtId="164" fontId="35" fillId="0" borderId="1" xfId="2" applyNumberFormat="1" applyFont="1" applyFill="1" applyBorder="1"/>
    <xf numFmtId="44" fontId="34" fillId="0" borderId="0" xfId="2" applyFont="1" applyFill="1" applyBorder="1"/>
    <xf numFmtId="176" fontId="34" fillId="0" borderId="0" xfId="0" applyNumberFormat="1" applyFont="1" applyAlignment="1">
      <alignment horizontal="left"/>
    </xf>
    <xf numFmtId="176" fontId="35" fillId="0" borderId="0" xfId="0" applyNumberFormat="1" applyFont="1" applyAlignment="1">
      <alignment horizontal="left"/>
    </xf>
    <xf numFmtId="164" fontId="35" fillId="0" borderId="14" xfId="2" applyNumberFormat="1" applyFont="1" applyFill="1" applyBorder="1"/>
    <xf numFmtId="0" fontId="35" fillId="0" borderId="102" xfId="0" applyFont="1" applyBorder="1"/>
    <xf numFmtId="176" fontId="35" fillId="0" borderId="87" xfId="0" applyNumberFormat="1" applyFont="1" applyBorder="1" applyAlignment="1">
      <alignment horizontal="left"/>
    </xf>
    <xf numFmtId="164" fontId="34" fillId="0" borderId="13" xfId="0" applyNumberFormat="1" applyFont="1" applyBorder="1"/>
    <xf numFmtId="164" fontId="34" fillId="0" borderId="13" xfId="2" applyNumberFormat="1" applyFont="1" applyFill="1" applyBorder="1"/>
    <xf numFmtId="0" fontId="34" fillId="0" borderId="4" xfId="0" applyFont="1" applyBorder="1"/>
    <xf numFmtId="176" fontId="34" fillId="0" borderId="83" xfId="0" applyNumberFormat="1" applyFont="1" applyBorder="1" applyAlignment="1">
      <alignment horizontal="left"/>
    </xf>
    <xf numFmtId="164" fontId="34" fillId="0" borderId="11" xfId="0" applyNumberFormat="1" applyFont="1" applyBorder="1"/>
    <xf numFmtId="0" fontId="35" fillId="0" borderId="70" xfId="0" applyFont="1" applyBorder="1" applyAlignment="1">
      <alignment horizontal="center"/>
    </xf>
    <xf numFmtId="44" fontId="34" fillId="0" borderId="0" xfId="0" applyNumberFormat="1" applyFont="1"/>
    <xf numFmtId="0" fontId="42" fillId="0" borderId="0" xfId="0" applyFont="1"/>
    <xf numFmtId="166" fontId="0" fillId="0" borderId="14" xfId="1" applyNumberFormat="1" applyFont="1" applyBorder="1"/>
    <xf numFmtId="166" fontId="43" fillId="0" borderId="0" xfId="1" applyNumberFormat="1" applyFont="1"/>
    <xf numFmtId="9" fontId="0" fillId="0" borderId="0" xfId="3" applyFont="1"/>
    <xf numFmtId="0" fontId="42" fillId="4" borderId="80" xfId="0" applyFont="1" applyFill="1" applyBorder="1"/>
    <xf numFmtId="0" fontId="45" fillId="0" borderId="0" xfId="0" applyFont="1"/>
    <xf numFmtId="0" fontId="5" fillId="2" borderId="27" xfId="0" applyFont="1" applyFill="1" applyBorder="1"/>
    <xf numFmtId="0" fontId="5" fillId="2" borderId="0" xfId="0" applyFont="1" applyFill="1"/>
    <xf numFmtId="165" fontId="5" fillId="2" borderId="0" xfId="1" applyNumberFormat="1" applyFont="1" applyFill="1" applyBorder="1"/>
    <xf numFmtId="166" fontId="5" fillId="2" borderId="0" xfId="1" applyNumberFormat="1" applyFont="1" applyFill="1" applyBorder="1" applyAlignment="1">
      <alignment horizontal="center"/>
    </xf>
    <xf numFmtId="171" fontId="5" fillId="0" borderId="11" xfId="2" applyNumberFormat="1" applyFont="1" applyBorder="1" applyAlignment="1">
      <alignment horizontal="right"/>
    </xf>
    <xf numFmtId="171" fontId="5" fillId="0" borderId="36" xfId="0" applyNumberFormat="1" applyFont="1" applyBorder="1"/>
    <xf numFmtId="0" fontId="5" fillId="4" borderId="27" xfId="0" applyFont="1" applyFill="1" applyBorder="1"/>
    <xf numFmtId="0" fontId="5" fillId="4" borderId="0" xfId="0" applyFont="1" applyFill="1"/>
    <xf numFmtId="165" fontId="5" fillId="4" borderId="0" xfId="1" applyNumberFormat="1" applyFont="1" applyFill="1" applyBorder="1"/>
    <xf numFmtId="166" fontId="5" fillId="4" borderId="0" xfId="1" applyNumberFormat="1" applyFont="1" applyFill="1" applyBorder="1"/>
    <xf numFmtId="166" fontId="5" fillId="4" borderId="11" xfId="2" applyNumberFormat="1" applyFont="1" applyFill="1" applyBorder="1" applyAlignment="1">
      <alignment horizontal="right"/>
    </xf>
    <xf numFmtId="166" fontId="5" fillId="2" borderId="0" xfId="1" applyNumberFormat="1" applyFont="1" applyFill="1" applyBorder="1"/>
    <xf numFmtId="166" fontId="5" fillId="2" borderId="11" xfId="1" applyNumberFormat="1" applyFont="1" applyFill="1" applyBorder="1" applyAlignment="1">
      <alignment horizontal="right"/>
    </xf>
    <xf numFmtId="165" fontId="5" fillId="3" borderId="0" xfId="1" applyNumberFormat="1" applyFont="1" applyFill="1" applyBorder="1"/>
    <xf numFmtId="166" fontId="5" fillId="3" borderId="0" xfId="1" applyNumberFormat="1" applyFont="1" applyFill="1" applyBorder="1"/>
    <xf numFmtId="166" fontId="5" fillId="3" borderId="11" xfId="1" applyNumberFormat="1" applyFont="1" applyFill="1" applyBorder="1" applyAlignment="1">
      <alignment horizontal="right"/>
    </xf>
    <xf numFmtId="0" fontId="5" fillId="2" borderId="63" xfId="0" applyFont="1" applyFill="1" applyBorder="1"/>
    <xf numFmtId="0" fontId="5" fillId="2" borderId="14" xfId="0" applyFont="1" applyFill="1" applyBorder="1"/>
    <xf numFmtId="165" fontId="5" fillId="2" borderId="14" xfId="1" applyNumberFormat="1" applyFont="1" applyFill="1" applyBorder="1"/>
    <xf numFmtId="166" fontId="5" fillId="2" borderId="14" xfId="1" applyNumberFormat="1" applyFont="1" applyFill="1" applyBorder="1"/>
    <xf numFmtId="171" fontId="5" fillId="2" borderId="14" xfId="1" applyNumberFormat="1" applyFont="1" applyFill="1" applyBorder="1" applyAlignment="1">
      <alignment horizontal="right"/>
    </xf>
    <xf numFmtId="166" fontId="5" fillId="2" borderId="117" xfId="1" applyNumberFormat="1" applyFont="1" applyFill="1" applyBorder="1"/>
    <xf numFmtId="171" fontId="5" fillId="2" borderId="0" xfId="1" applyNumberFormat="1" applyFont="1" applyFill="1" applyBorder="1" applyAlignment="1">
      <alignment horizontal="right"/>
    </xf>
    <xf numFmtId="0" fontId="46" fillId="22" borderId="14" xfId="0" applyFont="1" applyFill="1" applyBorder="1"/>
    <xf numFmtId="165" fontId="46" fillId="22" borderId="14" xfId="1" applyNumberFormat="1" applyFont="1" applyFill="1" applyBorder="1"/>
    <xf numFmtId="166" fontId="46" fillId="22" borderId="14" xfId="1" applyNumberFormat="1" applyFont="1" applyFill="1" applyBorder="1"/>
    <xf numFmtId="171" fontId="46" fillId="22" borderId="14" xfId="1" applyNumberFormat="1" applyFont="1" applyFill="1" applyBorder="1" applyAlignment="1">
      <alignment horizontal="right"/>
    </xf>
    <xf numFmtId="171" fontId="5" fillId="4" borderId="0" xfId="1" applyNumberFormat="1" applyFont="1" applyFill="1" applyBorder="1" applyAlignment="1">
      <alignment horizontal="right"/>
    </xf>
    <xf numFmtId="0" fontId="44" fillId="0" borderId="36" xfId="0" applyFont="1" applyBorder="1"/>
    <xf numFmtId="171" fontId="5" fillId="2" borderId="28" xfId="2" applyNumberFormat="1" applyFont="1" applyFill="1" applyBorder="1" applyAlignment="1">
      <alignment horizontal="right"/>
    </xf>
    <xf numFmtId="0" fontId="44" fillId="2" borderId="7" xfId="0" applyFont="1" applyFill="1" applyBorder="1"/>
    <xf numFmtId="164" fontId="5" fillId="0" borderId="15" xfId="2" applyNumberFormat="1" applyFont="1" applyBorder="1"/>
    <xf numFmtId="171" fontId="5" fillId="2" borderId="62" xfId="2" applyNumberFormat="1" applyFont="1" applyFill="1" applyBorder="1" applyAlignment="1">
      <alignment horizontal="right"/>
    </xf>
    <xf numFmtId="165" fontId="5" fillId="2" borderId="0" xfId="1" applyNumberFormat="1" applyFont="1" applyFill="1" applyBorder="1" applyAlignment="1">
      <alignment horizontal="center"/>
    </xf>
    <xf numFmtId="165" fontId="5" fillId="2" borderId="0" xfId="2" applyNumberFormat="1" applyFont="1" applyFill="1" applyBorder="1" applyAlignment="1">
      <alignment horizontal="center"/>
    </xf>
    <xf numFmtId="0" fontId="5" fillId="2" borderId="0" xfId="0" applyFont="1" applyFill="1" applyAlignment="1">
      <alignment horizontal="center"/>
    </xf>
    <xf numFmtId="0" fontId="5" fillId="2" borderId="64" xfId="0" applyFont="1" applyFill="1" applyBorder="1"/>
    <xf numFmtId="165" fontId="5" fillId="2" borderId="49" xfId="1" applyNumberFormat="1" applyFont="1" applyFill="1" applyBorder="1" applyAlignment="1">
      <alignment horizontal="center"/>
    </xf>
    <xf numFmtId="165" fontId="5" fillId="2" borderId="49" xfId="2" applyNumberFormat="1" applyFont="1" applyFill="1" applyBorder="1" applyAlignment="1">
      <alignment horizontal="center"/>
    </xf>
    <xf numFmtId="0" fontId="5" fillId="2" borderId="49" xfId="0" applyFont="1" applyFill="1" applyBorder="1" applyAlignment="1">
      <alignment horizontal="center"/>
    </xf>
    <xf numFmtId="164" fontId="5" fillId="2" borderId="49" xfId="0" applyNumberFormat="1" applyFont="1" applyFill="1" applyBorder="1" applyAlignment="1">
      <alignment horizontal="center"/>
    </xf>
    <xf numFmtId="171" fontId="5" fillId="2" borderId="65" xfId="2" applyNumberFormat="1" applyFont="1" applyFill="1" applyBorder="1" applyAlignment="1">
      <alignment horizontal="right"/>
    </xf>
    <xf numFmtId="0" fontId="47" fillId="0" borderId="0" xfId="0" applyFont="1"/>
    <xf numFmtId="0" fontId="7" fillId="0" borderId="0" xfId="0" applyFont="1" applyAlignment="1">
      <alignment horizontal="center" vertical="center"/>
    </xf>
    <xf numFmtId="17" fontId="47" fillId="0" borderId="0" xfId="0" applyNumberFormat="1" applyFont="1"/>
    <xf numFmtId="0" fontId="7" fillId="0" borderId="0" xfId="0" applyFont="1"/>
    <xf numFmtId="20" fontId="47" fillId="0" borderId="0" xfId="0" applyNumberFormat="1" applyFont="1"/>
    <xf numFmtId="0" fontId="7" fillId="0" borderId="14" xfId="0" applyFont="1" applyBorder="1"/>
    <xf numFmtId="166" fontId="7" fillId="0" borderId="14" xfId="1" applyNumberFormat="1" applyFont="1" applyFill="1" applyBorder="1"/>
    <xf numFmtId="2" fontId="42" fillId="0" borderId="70" xfId="0" applyNumberFormat="1" applyFont="1" applyBorder="1"/>
    <xf numFmtId="0" fontId="47" fillId="0" borderId="74" xfId="0" applyFont="1" applyBorder="1"/>
    <xf numFmtId="0" fontId="7" fillId="0" borderId="78" xfId="0" applyFont="1" applyBorder="1"/>
    <xf numFmtId="0" fontId="7" fillId="0" borderId="8" xfId="0" applyFont="1" applyBorder="1"/>
    <xf numFmtId="0" fontId="7" fillId="0" borderId="0" xfId="0" applyFont="1" applyAlignment="1">
      <alignment horizontal="center"/>
    </xf>
    <xf numFmtId="0" fontId="7" fillId="0" borderId="77" xfId="0" applyFont="1" applyBorder="1"/>
    <xf numFmtId="0" fontId="7" fillId="0" borderId="7" xfId="0" applyFont="1" applyBorder="1"/>
    <xf numFmtId="0" fontId="47" fillId="0" borderId="78" xfId="0" applyFont="1" applyBorder="1"/>
    <xf numFmtId="0" fontId="7" fillId="0" borderId="74" xfId="0" applyFont="1" applyBorder="1"/>
    <xf numFmtId="0" fontId="47" fillId="0" borderId="8" xfId="0" applyFont="1" applyBorder="1"/>
    <xf numFmtId="10" fontId="47" fillId="0" borderId="0" xfId="3" applyNumberFormat="1" applyFont="1" applyFill="1" applyBorder="1"/>
    <xf numFmtId="0" fontId="49" fillId="0" borderId="0" xfId="0" applyFont="1"/>
    <xf numFmtId="0" fontId="7" fillId="4" borderId="88" xfId="0" applyFont="1" applyFill="1" applyBorder="1" applyAlignment="1">
      <alignment horizontal="right"/>
    </xf>
    <xf numFmtId="0" fontId="50" fillId="0" borderId="0" xfId="0" applyFont="1"/>
    <xf numFmtId="0" fontId="51" fillId="0" borderId="0" xfId="9" applyFont="1"/>
    <xf numFmtId="0" fontId="47" fillId="14" borderId="0" xfId="0" applyFont="1" applyFill="1"/>
    <xf numFmtId="0" fontId="47" fillId="15" borderId="0" xfId="0" applyFont="1" applyFill="1"/>
    <xf numFmtId="0" fontId="7" fillId="0" borderId="98" xfId="0" applyFont="1" applyBorder="1"/>
    <xf numFmtId="0" fontId="7" fillId="0" borderId="87" xfId="0" applyFont="1" applyBorder="1"/>
    <xf numFmtId="0" fontId="47" fillId="0" borderId="70" xfId="0" applyFont="1" applyBorder="1"/>
    <xf numFmtId="0" fontId="7" fillId="0" borderId="9" xfId="0" applyFont="1" applyBorder="1"/>
    <xf numFmtId="0" fontId="7" fillId="0" borderId="99" xfId="0" applyFont="1" applyBorder="1"/>
    <xf numFmtId="0" fontId="7" fillId="0" borderId="100" xfId="0" applyFont="1" applyBorder="1" applyAlignment="1">
      <alignment horizontal="center"/>
    </xf>
    <xf numFmtId="0" fontId="47" fillId="0" borderId="101" xfId="0" applyFont="1" applyBorder="1"/>
    <xf numFmtId="0" fontId="47" fillId="0" borderId="2" xfId="0" applyFont="1" applyBorder="1"/>
    <xf numFmtId="0" fontId="7" fillId="0" borderId="2" xfId="0" applyFont="1" applyBorder="1"/>
    <xf numFmtId="0" fontId="47" fillId="0" borderId="84" xfId="0" applyFont="1" applyBorder="1"/>
    <xf numFmtId="0" fontId="7" fillId="0" borderId="84" xfId="0" applyFont="1" applyBorder="1"/>
    <xf numFmtId="0" fontId="7" fillId="0" borderId="16" xfId="0" applyFont="1" applyBorder="1"/>
    <xf numFmtId="0" fontId="7" fillId="0" borderId="101" xfId="0" applyFont="1" applyBorder="1"/>
    <xf numFmtId="0" fontId="47" fillId="0" borderId="102" xfId="0" applyFont="1" applyBorder="1"/>
    <xf numFmtId="3" fontId="7" fillId="0" borderId="7" xfId="0" applyNumberFormat="1" applyFont="1" applyBorder="1"/>
    <xf numFmtId="3" fontId="47" fillId="0" borderId="0" xfId="0" applyNumberFormat="1" applyFont="1"/>
    <xf numFmtId="0" fontId="47" fillId="0" borderId="103" xfId="0" applyFont="1" applyBorder="1"/>
    <xf numFmtId="0" fontId="47" fillId="0" borderId="83" xfId="0" applyFont="1" applyBorder="1"/>
    <xf numFmtId="170" fontId="47" fillId="0" borderId="0" xfId="0" applyNumberFormat="1" applyFont="1"/>
    <xf numFmtId="0" fontId="7" fillId="0" borderId="95" xfId="0" applyFont="1" applyBorder="1"/>
    <xf numFmtId="0" fontId="47" fillId="0" borderId="96" xfId="0" applyFont="1" applyBorder="1"/>
    <xf numFmtId="170" fontId="47" fillId="0" borderId="3" xfId="0" applyNumberFormat="1" applyFont="1" applyBorder="1"/>
    <xf numFmtId="170" fontId="47" fillId="0" borderId="7" xfId="0" applyNumberFormat="1" applyFont="1" applyBorder="1"/>
    <xf numFmtId="3" fontId="47" fillId="0" borderId="13" xfId="0" applyNumberFormat="1" applyFont="1" applyBorder="1"/>
    <xf numFmtId="170" fontId="47" fillId="0" borderId="4" xfId="0" applyNumberFormat="1" applyFont="1" applyBorder="1"/>
    <xf numFmtId="170" fontId="7" fillId="0" borderId="7" xfId="0" applyNumberFormat="1" applyFont="1" applyBorder="1"/>
    <xf numFmtId="170" fontId="7" fillId="0" borderId="0" xfId="0" applyNumberFormat="1" applyFont="1"/>
    <xf numFmtId="3" fontId="47" fillId="0" borderId="70" xfId="0" applyNumberFormat="1" applyFont="1" applyBorder="1"/>
    <xf numFmtId="0" fontId="47" fillId="0" borderId="13" xfId="0" applyFont="1" applyBorder="1"/>
    <xf numFmtId="9" fontId="47" fillId="0" borderId="13" xfId="0" applyNumberFormat="1" applyFont="1" applyBorder="1"/>
    <xf numFmtId="9" fontId="47" fillId="0" borderId="84" xfId="0" applyNumberFormat="1" applyFont="1" applyBorder="1"/>
    <xf numFmtId="9" fontId="47" fillId="0" borderId="111" xfId="0" applyNumberFormat="1" applyFont="1" applyBorder="1"/>
    <xf numFmtId="9" fontId="47" fillId="0" borderId="0" xfId="0" applyNumberFormat="1" applyFont="1"/>
    <xf numFmtId="9" fontId="47" fillId="0" borderId="70" xfId="0" applyNumberFormat="1" applyFont="1" applyBorder="1"/>
    <xf numFmtId="9" fontId="47" fillId="0" borderId="87" xfId="0" applyNumberFormat="1" applyFont="1" applyBorder="1"/>
    <xf numFmtId="0" fontId="47" fillId="0" borderId="70" xfId="0" applyFont="1" applyBorder="1" applyAlignment="1">
      <alignment horizontal="right"/>
    </xf>
    <xf numFmtId="3" fontId="7" fillId="0" borderId="70" xfId="0" applyNumberFormat="1" applyFont="1" applyBorder="1"/>
    <xf numFmtId="0" fontId="47" fillId="6" borderId="70" xfId="0" applyFont="1" applyFill="1" applyBorder="1"/>
    <xf numFmtId="0" fontId="47" fillId="11" borderId="13" xfId="0" applyFont="1" applyFill="1" applyBorder="1"/>
    <xf numFmtId="0" fontId="47" fillId="11" borderId="13" xfId="0" applyFont="1" applyFill="1" applyBorder="1" applyAlignment="1">
      <alignment horizontal="center"/>
    </xf>
    <xf numFmtId="164" fontId="7" fillId="0" borderId="70" xfId="2" applyNumberFormat="1" applyFont="1" applyFill="1" applyBorder="1"/>
    <xf numFmtId="0" fontId="46" fillId="23" borderId="9" xfId="0" applyFont="1" applyFill="1" applyBorder="1"/>
    <xf numFmtId="165" fontId="46" fillId="23" borderId="9" xfId="1" applyNumberFormat="1" applyFont="1" applyFill="1" applyBorder="1"/>
    <xf numFmtId="166" fontId="46" fillId="23" borderId="9" xfId="1" applyNumberFormat="1" applyFont="1" applyFill="1" applyBorder="1"/>
    <xf numFmtId="171" fontId="46" fillId="23" borderId="86" xfId="1" applyNumberFormat="1" applyFont="1" applyFill="1" applyBorder="1" applyAlignment="1">
      <alignment horizontal="right"/>
    </xf>
    <xf numFmtId="164" fontId="5" fillId="2" borderId="0" xfId="2" applyNumberFormat="1" applyFont="1" applyFill="1" applyBorder="1"/>
    <xf numFmtId="164" fontId="5" fillId="2" borderId="28" xfId="2" applyNumberFormat="1" applyFont="1" applyFill="1" applyBorder="1" applyAlignment="1">
      <alignment horizontal="right"/>
    </xf>
    <xf numFmtId="164" fontId="44" fillId="2" borderId="7" xfId="2" applyNumberFormat="1" applyFont="1" applyFill="1" applyBorder="1"/>
    <xf numFmtId="164" fontId="5" fillId="2" borderId="62" xfId="2" applyNumberFormat="1" applyFont="1" applyFill="1" applyBorder="1" applyAlignment="1">
      <alignment horizontal="right"/>
    </xf>
    <xf numFmtId="0" fontId="44" fillId="4" borderId="36" xfId="0" applyFont="1" applyFill="1" applyBorder="1"/>
    <xf numFmtId="171" fontId="5" fillId="0" borderId="39" xfId="0" applyNumberFormat="1" applyFont="1" applyBorder="1"/>
    <xf numFmtId="166" fontId="5" fillId="0" borderId="11" xfId="1" applyNumberFormat="1" applyFont="1" applyFill="1" applyBorder="1" applyAlignment="1">
      <alignment horizontal="right"/>
    </xf>
    <xf numFmtId="0" fontId="57" fillId="0" borderId="0" xfId="0" applyFont="1" applyAlignment="1">
      <alignment horizontal="center" vertical="center"/>
    </xf>
    <xf numFmtId="0" fontId="57" fillId="0" borderId="0" xfId="0" applyFont="1" applyAlignment="1">
      <alignment horizontal="center"/>
    </xf>
    <xf numFmtId="0" fontId="57" fillId="0" borderId="0" xfId="0" applyFont="1"/>
    <xf numFmtId="0" fontId="58" fillId="0" borderId="0" xfId="0" applyFont="1"/>
    <xf numFmtId="0" fontId="43" fillId="0" borderId="0" xfId="0" applyFont="1"/>
    <xf numFmtId="0" fontId="61" fillId="0" borderId="0" xfId="0" applyFont="1"/>
    <xf numFmtId="0" fontId="13" fillId="2" borderId="0" xfId="0" applyFont="1" applyFill="1" applyAlignment="1">
      <alignment horizontal="center" wrapText="1"/>
    </xf>
    <xf numFmtId="170" fontId="10" fillId="2" borderId="0" xfId="0" applyNumberFormat="1" applyFont="1" applyFill="1" applyAlignment="1">
      <alignment horizontal="center"/>
    </xf>
    <xf numFmtId="0" fontId="4" fillId="2" borderId="0" xfId="0" applyFont="1" applyFill="1" applyAlignment="1">
      <alignment horizontal="center" wrapText="1"/>
    </xf>
    <xf numFmtId="169" fontId="3" fillId="2" borderId="0" xfId="0" applyNumberFormat="1" applyFont="1" applyFill="1"/>
    <xf numFmtId="0" fontId="3" fillId="2" borderId="0" xfId="0" applyFont="1" applyFill="1"/>
    <xf numFmtId="170" fontId="3" fillId="2" borderId="0" xfId="0" applyNumberFormat="1" applyFont="1" applyFill="1"/>
    <xf numFmtId="170" fontId="3" fillId="2" borderId="0" xfId="0" applyNumberFormat="1" applyFont="1" applyFill="1" applyAlignment="1">
      <alignment horizontal="right"/>
    </xf>
    <xf numFmtId="169" fontId="4" fillId="2" borderId="18" xfId="0" applyNumberFormat="1" applyFont="1" applyFill="1" applyBorder="1"/>
    <xf numFmtId="169" fontId="4" fillId="2" borderId="0" xfId="0" applyNumberFormat="1" applyFont="1" applyFill="1"/>
    <xf numFmtId="170" fontId="4" fillId="2" borderId="0" xfId="0" applyNumberFormat="1" applyFont="1" applyFill="1"/>
    <xf numFmtId="169" fontId="14" fillId="2" borderId="0" xfId="0" applyNumberFormat="1" applyFont="1" applyFill="1"/>
    <xf numFmtId="169" fontId="13" fillId="2" borderId="0" xfId="0" applyNumberFormat="1" applyFont="1" applyFill="1"/>
    <xf numFmtId="4" fontId="13" fillId="2" borderId="81" xfId="0" applyNumberFormat="1" applyFont="1" applyFill="1" applyBorder="1" applyAlignment="1">
      <alignment horizontal="center" wrapText="1"/>
    </xf>
    <xf numFmtId="169" fontId="3" fillId="2" borderId="15" xfId="0" applyNumberFormat="1" applyFont="1" applyFill="1" applyBorder="1"/>
    <xf numFmtId="169" fontId="3" fillId="2" borderId="15" xfId="0" applyNumberFormat="1" applyFont="1" applyFill="1" applyBorder="1" applyAlignment="1">
      <alignment horizontal="right"/>
    </xf>
    <xf numFmtId="169" fontId="4" fillId="2" borderId="80" xfId="0" applyNumberFormat="1" applyFont="1" applyFill="1" applyBorder="1"/>
    <xf numFmtId="169" fontId="4" fillId="2" borderId="15" xfId="0" applyNumberFormat="1" applyFont="1" applyFill="1" applyBorder="1"/>
    <xf numFmtId="169" fontId="3" fillId="2" borderId="111" xfId="0" applyNumberFormat="1" applyFont="1" applyFill="1" applyBorder="1"/>
    <xf numFmtId="0" fontId="13" fillId="2" borderId="81" xfId="0" applyFont="1" applyFill="1" applyBorder="1" applyAlignment="1">
      <alignment horizontal="center" wrapText="1"/>
    </xf>
    <xf numFmtId="170" fontId="13" fillId="2" borderId="81" xfId="0" applyNumberFormat="1" applyFont="1" applyFill="1" applyBorder="1" applyAlignment="1">
      <alignment horizontal="center" wrapText="1"/>
    </xf>
    <xf numFmtId="170" fontId="3" fillId="2" borderId="15" xfId="0" applyNumberFormat="1" applyFont="1" applyFill="1" applyBorder="1"/>
    <xf numFmtId="170" fontId="3" fillId="2" borderId="15" xfId="0" applyNumberFormat="1" applyFont="1" applyFill="1" applyBorder="1" applyAlignment="1">
      <alignment horizontal="right"/>
    </xf>
    <xf numFmtId="9" fontId="4" fillId="0" borderId="80" xfId="3" applyFont="1" applyBorder="1"/>
    <xf numFmtId="0" fontId="3" fillId="0" borderId="81" xfId="0" applyFont="1" applyBorder="1"/>
    <xf numFmtId="0" fontId="3" fillId="0" borderId="15" xfId="0" applyFont="1" applyBorder="1"/>
    <xf numFmtId="10" fontId="3" fillId="0" borderId="15" xfId="0" applyNumberFormat="1" applyFont="1" applyBorder="1"/>
    <xf numFmtId="0" fontId="13" fillId="2" borderId="0" xfId="0" applyFont="1" applyFill="1" applyAlignment="1">
      <alignment horizontal="center"/>
    </xf>
    <xf numFmtId="164" fontId="7" fillId="0" borderId="0" xfId="2" applyNumberFormat="1" applyFont="1"/>
    <xf numFmtId="0" fontId="62" fillId="2" borderId="27" xfId="0" applyFont="1" applyFill="1" applyBorder="1"/>
    <xf numFmtId="0" fontId="62" fillId="2" borderId="0" xfId="0" applyFont="1" applyFill="1"/>
    <xf numFmtId="165" fontId="62" fillId="2" borderId="0" xfId="1" applyNumberFormat="1" applyFont="1" applyFill="1" applyBorder="1"/>
    <xf numFmtId="166" fontId="62" fillId="2" borderId="0" xfId="1" applyNumberFormat="1" applyFont="1" applyFill="1" applyBorder="1"/>
    <xf numFmtId="171" fontId="62" fillId="2" borderId="0" xfId="1" applyNumberFormat="1" applyFont="1" applyFill="1" applyBorder="1" applyAlignment="1">
      <alignment horizontal="right"/>
    </xf>
    <xf numFmtId="171" fontId="62" fillId="2" borderId="14" xfId="1" applyNumberFormat="1" applyFont="1" applyFill="1" applyBorder="1" applyAlignment="1">
      <alignment horizontal="right"/>
    </xf>
    <xf numFmtId="9" fontId="7" fillId="0" borderId="0" xfId="3" applyFont="1"/>
    <xf numFmtId="178" fontId="7" fillId="0" borderId="0" xfId="0" applyNumberFormat="1" applyFont="1"/>
    <xf numFmtId="179" fontId="0" fillId="0" borderId="0" xfId="2" applyNumberFormat="1" applyFont="1"/>
    <xf numFmtId="177" fontId="62" fillId="2" borderId="0" xfId="1" applyNumberFormat="1" applyFont="1" applyFill="1" applyBorder="1" applyAlignment="1">
      <alignment horizontal="right"/>
    </xf>
    <xf numFmtId="180" fontId="62" fillId="2" borderId="0" xfId="1" applyNumberFormat="1" applyFont="1" applyFill="1" applyBorder="1" applyAlignment="1">
      <alignment horizontal="right"/>
    </xf>
    <xf numFmtId="49" fontId="0" fillId="0" borderId="35" xfId="0" applyNumberFormat="1" applyBorder="1"/>
    <xf numFmtId="49" fontId="0" fillId="0" borderId="0" xfId="0" applyNumberFormat="1"/>
    <xf numFmtId="49" fontId="0" fillId="2" borderId="35" xfId="0" applyNumberFormat="1" applyFill="1" applyBorder="1"/>
    <xf numFmtId="49" fontId="0" fillId="0" borderId="35" xfId="0" applyNumberFormat="1" applyBorder="1" applyAlignment="1">
      <alignment horizontal="left" indent="1"/>
    </xf>
    <xf numFmtId="49" fontId="0" fillId="0" borderId="37" xfId="0" applyNumberFormat="1" applyBorder="1"/>
    <xf numFmtId="0" fontId="47" fillId="2" borderId="0" xfId="0" applyFont="1" applyFill="1"/>
    <xf numFmtId="0" fontId="0" fillId="0" borderId="0" xfId="0" applyAlignment="1">
      <alignment horizontal="left" vertical="top"/>
    </xf>
    <xf numFmtId="0" fontId="64" fillId="0" borderId="83" xfId="0" applyFont="1" applyBorder="1" applyAlignment="1">
      <alignment vertical="top"/>
    </xf>
    <xf numFmtId="0" fontId="64" fillId="0" borderId="0" xfId="0" applyFont="1" applyAlignment="1">
      <alignment vertical="top"/>
    </xf>
    <xf numFmtId="5" fontId="0" fillId="0" borderId="4" xfId="1" applyNumberFormat="1" applyFont="1" applyBorder="1" applyAlignment="1">
      <alignment horizontal="left" vertical="top"/>
    </xf>
    <xf numFmtId="5" fontId="0" fillId="0" borderId="8" xfId="1" applyNumberFormat="1" applyFont="1" applyBorder="1" applyAlignment="1">
      <alignment horizontal="left" vertical="top"/>
    </xf>
    <xf numFmtId="0" fontId="22" fillId="0" borderId="80" xfId="0" applyFont="1" applyBorder="1" applyAlignment="1">
      <alignment horizontal="center" vertical="center"/>
    </xf>
    <xf numFmtId="0" fontId="22" fillId="0" borderId="17" xfId="0" applyFont="1" applyBorder="1" applyAlignment="1">
      <alignment horizontal="left" vertical="top"/>
    </xf>
    <xf numFmtId="5" fontId="68" fillId="0" borderId="19" xfId="1" applyNumberFormat="1" applyFont="1" applyBorder="1" applyAlignment="1">
      <alignment horizontal="center" vertical="center" wrapText="1"/>
    </xf>
    <xf numFmtId="0" fontId="69" fillId="0" borderId="15" xfId="0" applyFont="1" applyBorder="1" applyAlignment="1">
      <alignment horizontal="left" vertical="top"/>
    </xf>
    <xf numFmtId="0" fontId="69" fillId="0" borderId="74" xfId="0" applyFont="1" applyBorder="1" applyAlignment="1">
      <alignment horizontal="left" vertical="top"/>
    </xf>
    <xf numFmtId="5" fontId="0" fillId="0" borderId="7" xfId="1" applyNumberFormat="1" applyFont="1" applyBorder="1" applyAlignment="1">
      <alignment horizontal="left" vertical="top"/>
    </xf>
    <xf numFmtId="0" fontId="70" fillId="0" borderId="15" xfId="0" applyFont="1" applyBorder="1" applyAlignment="1">
      <alignment horizontal="left" vertical="top"/>
    </xf>
    <xf numFmtId="0" fontId="70" fillId="0" borderId="74" xfId="0" applyFont="1" applyBorder="1" applyAlignment="1">
      <alignment horizontal="left" vertical="top"/>
    </xf>
    <xf numFmtId="5" fontId="22" fillId="0" borderId="7" xfId="1" applyNumberFormat="1" applyFont="1" applyBorder="1" applyAlignment="1">
      <alignment horizontal="right" vertical="top"/>
    </xf>
    <xf numFmtId="0" fontId="70" fillId="0" borderId="111" xfId="0" applyFont="1" applyBorder="1" applyAlignment="1">
      <alignment horizontal="left" vertical="top"/>
    </xf>
    <xf numFmtId="0" fontId="70" fillId="0" borderId="120" xfId="0" applyFont="1" applyBorder="1" applyAlignment="1">
      <alignment horizontal="left" vertical="top"/>
    </xf>
    <xf numFmtId="5" fontId="22" fillId="0" borderId="75" xfId="1" applyNumberFormat="1" applyFont="1" applyBorder="1" applyAlignment="1">
      <alignment horizontal="right" vertical="top"/>
    </xf>
    <xf numFmtId="0" fontId="22" fillId="0" borderId="15" xfId="0" applyFont="1" applyBorder="1" applyAlignment="1">
      <alignment horizontal="left" vertical="top"/>
    </xf>
    <xf numFmtId="0" fontId="71" fillId="0" borderId="115" xfId="0" applyFont="1" applyBorder="1" applyAlignment="1">
      <alignment horizontal="left" vertical="top"/>
    </xf>
    <xf numFmtId="0" fontId="71" fillId="0" borderId="78" xfId="0" applyFont="1" applyBorder="1" applyAlignment="1">
      <alignment horizontal="left" vertical="top"/>
    </xf>
    <xf numFmtId="5" fontId="0" fillId="0" borderId="79" xfId="1" applyNumberFormat="1" applyFont="1" applyBorder="1" applyAlignment="1">
      <alignment horizontal="left" vertical="top"/>
    </xf>
    <xf numFmtId="0" fontId="69" fillId="0" borderId="0" xfId="0" applyFont="1" applyAlignment="1">
      <alignment horizontal="left" vertical="top"/>
    </xf>
    <xf numFmtId="5" fontId="0" fillId="0" borderId="0" xfId="1" applyNumberFormat="1" applyFont="1" applyBorder="1" applyAlignment="1">
      <alignment horizontal="left" vertical="top"/>
    </xf>
    <xf numFmtId="0" fontId="2" fillId="0" borderId="0" xfId="0" applyFont="1" applyAlignment="1">
      <alignment horizontal="left" vertical="top"/>
    </xf>
    <xf numFmtId="5" fontId="73" fillId="0" borderId="7" xfId="1" applyNumberFormat="1" applyFont="1" applyBorder="1" applyAlignment="1">
      <alignment horizontal="right" vertical="top"/>
    </xf>
    <xf numFmtId="5" fontId="74" fillId="0" borderId="7" xfId="1" applyNumberFormat="1" applyFont="1" applyBorder="1" applyAlignment="1">
      <alignment horizontal="right" vertical="top"/>
    </xf>
    <xf numFmtId="0" fontId="22" fillId="0" borderId="87" xfId="0" applyFont="1" applyBorder="1" applyAlignment="1">
      <alignment horizontal="left" vertical="top" wrapText="1"/>
    </xf>
    <xf numFmtId="0" fontId="22" fillId="0" borderId="99" xfId="0" applyFont="1" applyBorder="1" applyAlignment="1">
      <alignment horizontal="left" vertical="top" wrapText="1"/>
    </xf>
    <xf numFmtId="5" fontId="22" fillId="0" borderId="99" xfId="1" applyNumberFormat="1" applyFont="1" applyBorder="1" applyAlignment="1">
      <alignment horizontal="right" vertical="top" wrapText="1"/>
    </xf>
    <xf numFmtId="0" fontId="72" fillId="0" borderId="0" xfId="0" applyFont="1" applyAlignment="1">
      <alignment horizontal="left" vertical="top" wrapText="1"/>
    </xf>
    <xf numFmtId="0" fontId="2" fillId="0" borderId="74" xfId="0" applyFont="1" applyBorder="1" applyAlignment="1">
      <alignment horizontal="left" vertical="top"/>
    </xf>
    <xf numFmtId="0" fontId="0" fillId="0" borderId="74" xfId="0" applyBorder="1" applyAlignment="1">
      <alignment horizontal="left" vertical="top"/>
    </xf>
    <xf numFmtId="43" fontId="0" fillId="0" borderId="0" xfId="1" applyFont="1" applyAlignment="1">
      <alignment horizontal="left" vertical="top"/>
    </xf>
    <xf numFmtId="169" fontId="0" fillId="0" borderId="0" xfId="0" applyNumberFormat="1" applyAlignment="1">
      <alignment horizontal="left" vertical="top"/>
    </xf>
    <xf numFmtId="0" fontId="75" fillId="0" borderId="87" xfId="0" applyFont="1" applyBorder="1" applyAlignment="1">
      <alignment horizontal="left" vertical="top" wrapText="1"/>
    </xf>
    <xf numFmtId="0" fontId="75" fillId="0" borderId="99" xfId="0" applyFont="1" applyBorder="1" applyAlignment="1">
      <alignment horizontal="left" vertical="top" wrapText="1"/>
    </xf>
    <xf numFmtId="5" fontId="76" fillId="0" borderId="99" xfId="1" applyNumberFormat="1" applyFont="1" applyBorder="1" applyAlignment="1">
      <alignment horizontal="right" vertical="top"/>
    </xf>
    <xf numFmtId="43" fontId="0" fillId="0" borderId="0" xfId="0" applyNumberFormat="1" applyAlignment="1">
      <alignment horizontal="left" vertical="top"/>
    </xf>
    <xf numFmtId="0" fontId="22" fillId="0" borderId="0" xfId="0" applyFont="1" applyAlignment="1">
      <alignment horizontal="left" vertical="top"/>
    </xf>
    <xf numFmtId="0" fontId="70" fillId="0" borderId="0" xfId="0" applyFont="1" applyAlignment="1">
      <alignment horizontal="left" vertical="top"/>
    </xf>
    <xf numFmtId="5" fontId="0" fillId="0" borderId="0" xfId="1" applyNumberFormat="1" applyFont="1" applyAlignment="1">
      <alignment horizontal="left" vertical="top"/>
    </xf>
    <xf numFmtId="3" fontId="7" fillId="25" borderId="92" xfId="0" applyNumberFormat="1" applyFont="1" applyFill="1" applyBorder="1"/>
    <xf numFmtId="5" fontId="73" fillId="25" borderId="7" xfId="1" applyNumberFormat="1" applyFont="1" applyFill="1" applyBorder="1" applyAlignment="1">
      <alignment horizontal="right" vertical="top"/>
    </xf>
    <xf numFmtId="8" fontId="2" fillId="0" borderId="0" xfId="0" applyNumberFormat="1" applyFont="1"/>
    <xf numFmtId="9" fontId="47" fillId="3" borderId="0" xfId="3" applyFont="1" applyFill="1"/>
    <xf numFmtId="3" fontId="53" fillId="26" borderId="3" xfId="0" applyNumberFormat="1" applyFont="1" applyFill="1" applyBorder="1"/>
    <xf numFmtId="3" fontId="53" fillId="26" borderId="104" xfId="0" applyNumberFormat="1" applyFont="1" applyFill="1" applyBorder="1"/>
    <xf numFmtId="3" fontId="47" fillId="26" borderId="70" xfId="0" applyNumberFormat="1" applyFont="1" applyFill="1" applyBorder="1"/>
    <xf numFmtId="3" fontId="53" fillId="4" borderId="3" xfId="0" applyNumberFormat="1" applyFont="1" applyFill="1" applyBorder="1"/>
    <xf numFmtId="3" fontId="53" fillId="4" borderId="85" xfId="0" applyNumberFormat="1" applyFont="1" applyFill="1" applyBorder="1"/>
    <xf numFmtId="3" fontId="47" fillId="4" borderId="13" xfId="0" applyNumberFormat="1" applyFont="1" applyFill="1" applyBorder="1"/>
    <xf numFmtId="9" fontId="47" fillId="0" borderId="0" xfId="3" applyFont="1"/>
    <xf numFmtId="9" fontId="47" fillId="0" borderId="116" xfId="0" applyNumberFormat="1" applyFont="1" applyBorder="1"/>
    <xf numFmtId="3" fontId="7" fillId="27" borderId="70" xfId="0" applyNumberFormat="1" applyFont="1" applyFill="1" applyBorder="1"/>
    <xf numFmtId="3" fontId="53" fillId="2" borderId="76" xfId="0" applyNumberFormat="1" applyFont="1" applyFill="1" applyBorder="1"/>
    <xf numFmtId="3" fontId="53" fillId="2" borderId="75" xfId="0" applyNumberFormat="1" applyFont="1" applyFill="1" applyBorder="1"/>
    <xf numFmtId="166" fontId="5" fillId="2" borderId="11" xfId="2" applyNumberFormat="1" applyFont="1" applyFill="1" applyBorder="1" applyAlignment="1">
      <alignment horizontal="right"/>
    </xf>
    <xf numFmtId="0" fontId="1" fillId="0" borderId="0" xfId="0" applyFont="1"/>
    <xf numFmtId="44" fontId="59" fillId="2" borderId="71" xfId="2" applyFont="1" applyFill="1" applyBorder="1"/>
    <xf numFmtId="0" fontId="59" fillId="2" borderId="73" xfId="1" applyNumberFormat="1" applyFont="1" applyFill="1" applyBorder="1" applyAlignment="1">
      <alignment horizontal="center"/>
    </xf>
    <xf numFmtId="44" fontId="59" fillId="2" borderId="119" xfId="2" applyFont="1" applyFill="1" applyBorder="1"/>
    <xf numFmtId="0" fontId="59" fillId="2" borderId="100" xfId="1" applyNumberFormat="1" applyFont="1" applyFill="1" applyBorder="1" applyAlignment="1">
      <alignment horizontal="center"/>
    </xf>
    <xf numFmtId="44" fontId="59" fillId="2" borderId="74" xfId="2" applyFont="1" applyFill="1" applyBorder="1"/>
    <xf numFmtId="0" fontId="59" fillId="2" borderId="7" xfId="1" applyNumberFormat="1" applyFont="1" applyFill="1" applyBorder="1" applyAlignment="1">
      <alignment horizontal="center"/>
    </xf>
    <xf numFmtId="44" fontId="77" fillId="28" borderId="78" xfId="2" applyFont="1" applyFill="1" applyBorder="1"/>
    <xf numFmtId="0" fontId="77" fillId="28" borderId="79" xfId="1" applyNumberFormat="1" applyFont="1" applyFill="1" applyBorder="1" applyAlignment="1">
      <alignment horizontal="center"/>
    </xf>
    <xf numFmtId="44" fontId="77" fillId="28" borderId="0" xfId="2" applyFont="1" applyFill="1"/>
    <xf numFmtId="0" fontId="77" fillId="28" borderId="0" xfId="1" applyNumberFormat="1" applyFont="1" applyFill="1" applyAlignment="1">
      <alignment horizontal="center"/>
    </xf>
    <xf numFmtId="0" fontId="59" fillId="0" borderId="0" xfId="0" applyFont="1"/>
    <xf numFmtId="0" fontId="78" fillId="0" borderId="0" xfId="0" applyFont="1"/>
    <xf numFmtId="44" fontId="59" fillId="0" borderId="0" xfId="0" applyNumberFormat="1" applyFont="1"/>
    <xf numFmtId="181" fontId="59" fillId="0" borderId="0" xfId="0" applyNumberFormat="1" applyFont="1"/>
    <xf numFmtId="0" fontId="78" fillId="0" borderId="0" xfId="0" applyFont="1" applyAlignment="1">
      <alignment horizontal="center"/>
    </xf>
    <xf numFmtId="44" fontId="78" fillId="0" borderId="0" xfId="0" applyNumberFormat="1" applyFont="1"/>
    <xf numFmtId="44" fontId="78" fillId="0" borderId="121" xfId="0" applyNumberFormat="1" applyFont="1" applyBorder="1"/>
    <xf numFmtId="0" fontId="78" fillId="0" borderId="122" xfId="0" applyFont="1" applyBorder="1"/>
    <xf numFmtId="44" fontId="59" fillId="0" borderId="0" xfId="2" applyFont="1"/>
    <xf numFmtId="0" fontId="47" fillId="0" borderId="124" xfId="0" applyFont="1" applyBorder="1"/>
    <xf numFmtId="0" fontId="47" fillId="0" borderId="125" xfId="0" applyFont="1" applyBorder="1"/>
    <xf numFmtId="49" fontId="0" fillId="2" borderId="0" xfId="0" applyNumberFormat="1" applyFill="1"/>
    <xf numFmtId="49" fontId="0" fillId="0" borderId="0" xfId="0" applyNumberFormat="1" applyAlignment="1">
      <alignment horizontal="left" indent="1"/>
    </xf>
    <xf numFmtId="166" fontId="0" fillId="2" borderId="0" xfId="1" applyNumberFormat="1" applyFont="1" applyFill="1"/>
    <xf numFmtId="49" fontId="5" fillId="2" borderId="0" xfId="0" applyNumberFormat="1" applyFont="1" applyFill="1"/>
    <xf numFmtId="0" fontId="49" fillId="2" borderId="0" xfId="0" applyFont="1" applyFill="1"/>
    <xf numFmtId="0" fontId="54" fillId="2" borderId="0" xfId="0" applyFont="1" applyFill="1"/>
    <xf numFmtId="0" fontId="55" fillId="2" borderId="0" xfId="0" applyFont="1" applyFill="1"/>
    <xf numFmtId="166" fontId="5" fillId="2" borderId="0" xfId="0" applyNumberFormat="1" applyFont="1" applyFill="1"/>
    <xf numFmtId="0" fontId="5" fillId="3" borderId="0" xfId="0" applyFont="1" applyFill="1"/>
    <xf numFmtId="166" fontId="44" fillId="2" borderId="0" xfId="0" applyNumberFormat="1" applyFont="1" applyFill="1"/>
    <xf numFmtId="0" fontId="46" fillId="23" borderId="127" xfId="0" applyFont="1" applyFill="1" applyBorder="1"/>
    <xf numFmtId="0" fontId="5" fillId="2" borderId="128" xfId="0" applyFont="1" applyFill="1" applyBorder="1"/>
    <xf numFmtId="165" fontId="5" fillId="2" borderId="128" xfId="1" applyNumberFormat="1" applyFont="1" applyFill="1" applyBorder="1"/>
    <xf numFmtId="174" fontId="44" fillId="2" borderId="128" xfId="0" applyNumberFormat="1" applyFont="1" applyFill="1" applyBorder="1"/>
    <xf numFmtId="166" fontId="5" fillId="2" borderId="128" xfId="1" applyNumberFormat="1" applyFont="1" applyFill="1" applyBorder="1" applyAlignment="1">
      <alignment horizontal="center"/>
    </xf>
    <xf numFmtId="164" fontId="5" fillId="0" borderId="129" xfId="2" applyNumberFormat="1" applyFont="1" applyBorder="1" applyAlignment="1">
      <alignment horizontal="center"/>
    </xf>
    <xf numFmtId="0" fontId="5" fillId="0" borderId="130" xfId="0" applyFont="1" applyBorder="1" applyAlignment="1">
      <alignment horizontal="center"/>
    </xf>
    <xf numFmtId="0" fontId="5" fillId="2" borderId="131" xfId="0" applyFont="1" applyFill="1" applyBorder="1"/>
    <xf numFmtId="171" fontId="5" fillId="0" borderId="132" xfId="0" applyNumberFormat="1" applyFont="1" applyBorder="1"/>
    <xf numFmtId="0" fontId="5" fillId="0" borderId="132" xfId="0" applyFont="1" applyBorder="1"/>
    <xf numFmtId="0" fontId="5" fillId="3" borderId="131" xfId="0" applyFont="1" applyFill="1" applyBorder="1"/>
    <xf numFmtId="171" fontId="5" fillId="3" borderId="132" xfId="0" applyNumberFormat="1" applyFont="1" applyFill="1" applyBorder="1"/>
    <xf numFmtId="166" fontId="5" fillId="2" borderId="133" xfId="1" applyNumberFormat="1" applyFont="1" applyFill="1" applyBorder="1" applyAlignment="1">
      <alignment horizontal="right"/>
    </xf>
    <xf numFmtId="171" fontId="5" fillId="2" borderId="132" xfId="0" applyNumberFormat="1" applyFont="1" applyFill="1" applyBorder="1"/>
    <xf numFmtId="0" fontId="46" fillId="23" borderId="134" xfId="0" applyFont="1" applyFill="1" applyBorder="1"/>
    <xf numFmtId="171" fontId="46" fillId="23" borderId="135" xfId="1" applyNumberFormat="1" applyFont="1" applyFill="1" applyBorder="1" applyAlignment="1">
      <alignment horizontal="right"/>
    </xf>
    <xf numFmtId="0" fontId="5" fillId="2" borderId="136" xfId="0" applyFont="1" applyFill="1" applyBorder="1"/>
    <xf numFmtId="171" fontId="5" fillId="2" borderId="135" xfId="1" applyNumberFormat="1" applyFont="1" applyFill="1" applyBorder="1" applyAlignment="1">
      <alignment horizontal="right"/>
    </xf>
    <xf numFmtId="0" fontId="46" fillId="22" borderId="136" xfId="0" applyFont="1" applyFill="1" applyBorder="1"/>
    <xf numFmtId="171" fontId="46" fillId="22" borderId="135" xfId="1" applyNumberFormat="1" applyFont="1" applyFill="1" applyBorder="1" applyAlignment="1">
      <alignment horizontal="right"/>
    </xf>
    <xf numFmtId="171" fontId="5" fillId="2" borderId="137" xfId="1" applyNumberFormat="1" applyFont="1" applyFill="1" applyBorder="1" applyAlignment="1">
      <alignment horizontal="right"/>
    </xf>
    <xf numFmtId="171" fontId="46" fillId="22" borderId="138" xfId="1" applyNumberFormat="1" applyFont="1" applyFill="1" applyBorder="1" applyAlignment="1">
      <alignment horizontal="right"/>
    </xf>
    <xf numFmtId="0" fontId="62" fillId="2" borderId="131" xfId="0" applyFont="1" applyFill="1" applyBorder="1"/>
    <xf numFmtId="177" fontId="62" fillId="2" borderId="132" xfId="1" applyNumberFormat="1" applyFont="1" applyFill="1" applyBorder="1" applyAlignment="1">
      <alignment horizontal="right"/>
    </xf>
    <xf numFmtId="0" fontId="49" fillId="0" borderId="131" xfId="0" applyFont="1" applyBorder="1"/>
    <xf numFmtId="171" fontId="62" fillId="2" borderId="132" xfId="1" applyNumberFormat="1" applyFont="1" applyFill="1" applyBorder="1" applyAlignment="1">
      <alignment horizontal="right"/>
    </xf>
    <xf numFmtId="0" fontId="5" fillId="4" borderId="131" xfId="0" applyFont="1" applyFill="1" applyBorder="1"/>
    <xf numFmtId="0" fontId="62" fillId="2" borderId="139" xfId="0" applyFont="1" applyFill="1" applyBorder="1"/>
    <xf numFmtId="0" fontId="62" fillId="2" borderId="140" xfId="0" applyFont="1" applyFill="1" applyBorder="1"/>
    <xf numFmtId="165" fontId="62" fillId="2" borderId="140" xfId="1" applyNumberFormat="1" applyFont="1" applyFill="1" applyBorder="1"/>
    <xf numFmtId="166" fontId="62" fillId="2" borderId="140" xfId="1" applyNumberFormat="1" applyFont="1" applyFill="1" applyBorder="1"/>
    <xf numFmtId="171" fontId="62" fillId="2" borderId="140" xfId="1" applyNumberFormat="1" applyFont="1" applyFill="1" applyBorder="1" applyAlignment="1">
      <alignment horizontal="right"/>
    </xf>
    <xf numFmtId="171" fontId="62" fillId="2" borderId="141" xfId="1" applyNumberFormat="1" applyFont="1" applyFill="1" applyBorder="1" applyAlignment="1">
      <alignment horizontal="right"/>
    </xf>
    <xf numFmtId="0" fontId="62" fillId="2" borderId="142" xfId="0" applyFont="1" applyFill="1" applyBorder="1"/>
    <xf numFmtId="0" fontId="62" fillId="2" borderId="143" xfId="0" applyFont="1" applyFill="1" applyBorder="1"/>
    <xf numFmtId="165" fontId="62" fillId="2" borderId="143" xfId="1" applyNumberFormat="1" applyFont="1" applyFill="1" applyBorder="1"/>
    <xf numFmtId="166" fontId="62" fillId="2" borderId="143" xfId="1" applyNumberFormat="1" applyFont="1" applyFill="1" applyBorder="1"/>
    <xf numFmtId="177" fontId="62" fillId="2" borderId="143" xfId="1" applyNumberFormat="1" applyFont="1" applyFill="1" applyBorder="1" applyAlignment="1">
      <alignment horizontal="right"/>
    </xf>
    <xf numFmtId="177" fontId="62" fillId="2" borderId="144" xfId="1" applyNumberFormat="1" applyFont="1" applyFill="1" applyBorder="1" applyAlignment="1">
      <alignment horizontal="right"/>
    </xf>
    <xf numFmtId="0" fontId="7" fillId="2" borderId="113" xfId="0" applyFont="1" applyFill="1" applyBorder="1"/>
    <xf numFmtId="170" fontId="7" fillId="2" borderId="70" xfId="0" applyNumberFormat="1" applyFont="1" applyFill="1" applyBorder="1"/>
    <xf numFmtId="170" fontId="7" fillId="2" borderId="114" xfId="0" applyNumberFormat="1" applyFont="1" applyFill="1" applyBorder="1"/>
    <xf numFmtId="170" fontId="47" fillId="2" borderId="70" xfId="0" applyNumberFormat="1" applyFont="1" applyFill="1" applyBorder="1"/>
    <xf numFmtId="170" fontId="47" fillId="2" borderId="114" xfId="0" applyNumberFormat="1" applyFont="1" applyFill="1" applyBorder="1"/>
    <xf numFmtId="0" fontId="7" fillId="2" borderId="70" xfId="0" applyFont="1" applyFill="1" applyBorder="1"/>
    <xf numFmtId="0" fontId="47" fillId="2" borderId="70" xfId="0" applyFont="1" applyFill="1" applyBorder="1" applyAlignment="1">
      <alignment horizontal="right"/>
    </xf>
    <xf numFmtId="3" fontId="7" fillId="2" borderId="70" xfId="0" applyNumberFormat="1" applyFont="1" applyFill="1" applyBorder="1"/>
    <xf numFmtId="0" fontId="7" fillId="2" borderId="88" xfId="0" applyFont="1" applyFill="1" applyBorder="1"/>
    <xf numFmtId="0" fontId="47" fillId="2" borderId="89" xfId="0" applyFont="1" applyFill="1" applyBorder="1"/>
    <xf numFmtId="0" fontId="47" fillId="2" borderId="90" xfId="0" applyFont="1" applyFill="1" applyBorder="1"/>
    <xf numFmtId="0" fontId="47" fillId="2" borderId="113" xfId="0" applyFont="1" applyFill="1" applyBorder="1"/>
    <xf numFmtId="0" fontId="47" fillId="2" borderId="70" xfId="0" applyFont="1" applyFill="1" applyBorder="1" applyAlignment="1">
      <alignment horizontal="center"/>
    </xf>
    <xf numFmtId="0" fontId="47" fillId="2" borderId="114" xfId="0" applyFont="1" applyFill="1" applyBorder="1"/>
    <xf numFmtId="0" fontId="47" fillId="2" borderId="91" xfId="0" applyFont="1" applyFill="1" applyBorder="1" applyAlignment="1">
      <alignment horizontal="right"/>
    </xf>
    <xf numFmtId="3" fontId="7" fillId="2" borderId="92" xfId="0" applyNumberFormat="1" applyFont="1" applyFill="1" applyBorder="1"/>
    <xf numFmtId="170" fontId="7" fillId="2" borderId="93" xfId="0" applyNumberFormat="1" applyFont="1" applyFill="1" applyBorder="1"/>
    <xf numFmtId="169" fontId="47" fillId="2" borderId="70" xfId="0" applyNumberFormat="1" applyFont="1" applyFill="1" applyBorder="1"/>
    <xf numFmtId="169" fontId="7" fillId="2" borderId="70" xfId="0" applyNumberFormat="1" applyFont="1" applyFill="1" applyBorder="1"/>
    <xf numFmtId="170" fontId="7" fillId="2" borderId="0" xfId="0" applyNumberFormat="1" applyFont="1" applyFill="1"/>
    <xf numFmtId="0" fontId="57" fillId="2" borderId="94" xfId="0" applyFont="1" applyFill="1" applyBorder="1" applyAlignment="1">
      <alignment horizontal="left"/>
    </xf>
    <xf numFmtId="0" fontId="57" fillId="2" borderId="95" xfId="0" applyFont="1" applyFill="1" applyBorder="1"/>
    <xf numFmtId="0" fontId="52" fillId="2" borderId="96" xfId="0" applyFont="1" applyFill="1" applyBorder="1"/>
    <xf numFmtId="0" fontId="52" fillId="2" borderId="97" xfId="0" applyFont="1" applyFill="1" applyBorder="1"/>
    <xf numFmtId="0" fontId="7" fillId="2" borderId="4" xfId="0" applyFont="1" applyFill="1" applyBorder="1" applyAlignment="1">
      <alignment horizontal="right"/>
    </xf>
    <xf numFmtId="9" fontId="7" fillId="4" borderId="111" xfId="0" applyNumberFormat="1" applyFont="1" applyFill="1" applyBorder="1"/>
    <xf numFmtId="9" fontId="7" fillId="4" borderId="116" xfId="0" applyNumberFormat="1" applyFont="1" applyFill="1" applyBorder="1"/>
    <xf numFmtId="0" fontId="46" fillId="22" borderId="0" xfId="0" applyFont="1" applyFill="1"/>
    <xf numFmtId="165" fontId="46" fillId="22" borderId="0" xfId="1" applyNumberFormat="1" applyFont="1" applyFill="1" applyBorder="1"/>
    <xf numFmtId="166" fontId="46" fillId="22" borderId="0" xfId="1" applyNumberFormat="1" applyFont="1" applyFill="1" applyBorder="1"/>
    <xf numFmtId="171" fontId="46" fillId="22" borderId="0" xfId="1" applyNumberFormat="1" applyFont="1" applyFill="1" applyBorder="1" applyAlignment="1">
      <alignment horizontal="right"/>
    </xf>
    <xf numFmtId="0" fontId="46" fillId="2" borderId="0" xfId="0" applyFont="1" applyFill="1"/>
    <xf numFmtId="165" fontId="46" fillId="2" borderId="0" xfId="1" applyNumberFormat="1" applyFont="1" applyFill="1" applyBorder="1"/>
    <xf numFmtId="166" fontId="46" fillId="2" borderId="0" xfId="1" applyNumberFormat="1" applyFont="1" applyFill="1" applyBorder="1"/>
    <xf numFmtId="166" fontId="5" fillId="4" borderId="11" xfId="1" applyNumberFormat="1" applyFont="1" applyFill="1" applyBorder="1" applyAlignment="1">
      <alignment horizontal="right"/>
    </xf>
    <xf numFmtId="171" fontId="5" fillId="4" borderId="132" xfId="0" applyNumberFormat="1" applyFont="1" applyFill="1" applyBorder="1"/>
    <xf numFmtId="0" fontId="80" fillId="2" borderId="0" xfId="0" applyFont="1" applyFill="1"/>
    <xf numFmtId="166" fontId="81" fillId="2" borderId="11" xfId="1" applyNumberFormat="1" applyFont="1" applyFill="1" applyBorder="1" applyAlignment="1">
      <alignment horizontal="right"/>
    </xf>
    <xf numFmtId="166" fontId="5" fillId="2" borderId="0" xfId="1" applyNumberFormat="1" applyFont="1" applyFill="1" applyBorder="1" applyAlignment="1">
      <alignment horizontal="right"/>
    </xf>
    <xf numFmtId="0" fontId="79" fillId="3" borderId="0" xfId="0" applyFont="1" applyFill="1"/>
    <xf numFmtId="0" fontId="0" fillId="3" borderId="0" xfId="0" applyFill="1"/>
    <xf numFmtId="166" fontId="5" fillId="3" borderId="0" xfId="1" applyNumberFormat="1" applyFont="1" applyFill="1" applyBorder="1" applyAlignment="1">
      <alignment horizontal="right"/>
    </xf>
    <xf numFmtId="0" fontId="82" fillId="2" borderId="0" xfId="0" applyFont="1" applyFill="1"/>
    <xf numFmtId="6" fontId="84" fillId="29" borderId="0" xfId="0" applyNumberFormat="1" applyFont="1" applyFill="1" applyAlignment="1">
      <alignment horizontal="center"/>
    </xf>
    <xf numFmtId="43" fontId="85" fillId="0" borderId="0" xfId="1" applyFont="1"/>
    <xf numFmtId="3" fontId="7" fillId="2" borderId="0" xfId="0" applyNumberFormat="1" applyFont="1" applyFill="1"/>
    <xf numFmtId="169" fontId="47" fillId="0" borderId="0" xfId="0" applyNumberFormat="1" applyFont="1"/>
    <xf numFmtId="0" fontId="34" fillId="30" borderId="0" xfId="0" applyFont="1" applyFill="1"/>
    <xf numFmtId="0" fontId="34" fillId="2" borderId="0" xfId="0" applyFont="1" applyFill="1"/>
    <xf numFmtId="0" fontId="87" fillId="31" borderId="108" xfId="0" applyFont="1" applyFill="1" applyBorder="1"/>
    <xf numFmtId="0" fontId="88" fillId="31" borderId="109" xfId="0" applyFont="1" applyFill="1" applyBorder="1"/>
    <xf numFmtId="0" fontId="87" fillId="31" borderId="109" xfId="0" applyFont="1" applyFill="1" applyBorder="1"/>
    <xf numFmtId="0" fontId="87" fillId="31" borderId="110" xfId="0" applyFont="1" applyFill="1" applyBorder="1"/>
    <xf numFmtId="0" fontId="88" fillId="31" borderId="80" xfId="0" applyFont="1" applyFill="1" applyBorder="1" applyAlignment="1">
      <alignment horizontal="center"/>
    </xf>
    <xf numFmtId="0" fontId="89" fillId="31" borderId="108" xfId="0" applyFont="1" applyFill="1" applyBorder="1"/>
    <xf numFmtId="0" fontId="60" fillId="31" borderId="109" xfId="0" applyFont="1" applyFill="1" applyBorder="1"/>
    <xf numFmtId="0" fontId="89" fillId="31" borderId="109" xfId="0" applyFont="1" applyFill="1" applyBorder="1"/>
    <xf numFmtId="0" fontId="89" fillId="31" borderId="110" xfId="0" applyFont="1" applyFill="1" applyBorder="1"/>
    <xf numFmtId="0" fontId="60" fillId="31" borderId="80" xfId="0" applyFont="1" applyFill="1" applyBorder="1" applyAlignment="1">
      <alignment horizontal="center"/>
    </xf>
    <xf numFmtId="0" fontId="60" fillId="31" borderId="94" xfId="0" applyFont="1" applyFill="1" applyBorder="1"/>
    <xf numFmtId="0" fontId="89" fillId="31" borderId="106" xfId="0" applyFont="1" applyFill="1" applyBorder="1"/>
    <xf numFmtId="0" fontId="89" fillId="31" borderId="107" xfId="0" applyFont="1" applyFill="1" applyBorder="1"/>
    <xf numFmtId="0" fontId="60" fillId="31" borderId="17" xfId="0" applyFont="1" applyFill="1" applyBorder="1"/>
    <xf numFmtId="0" fontId="89" fillId="31" borderId="18" xfId="0" applyFont="1" applyFill="1" applyBorder="1"/>
    <xf numFmtId="0" fontId="89" fillId="31" borderId="19" xfId="0" applyFont="1" applyFill="1" applyBorder="1"/>
    <xf numFmtId="0" fontId="88" fillId="32" borderId="94" xfId="0" applyFont="1" applyFill="1" applyBorder="1"/>
    <xf numFmtId="0" fontId="87" fillId="32" borderId="106" xfId="0" applyFont="1" applyFill="1" applyBorder="1"/>
    <xf numFmtId="0" fontId="87" fillId="32" borderId="107" xfId="0" applyFont="1" applyFill="1" applyBorder="1"/>
    <xf numFmtId="0" fontId="2" fillId="0" borderId="2" xfId="0" applyFont="1" applyBorder="1" applyAlignment="1">
      <alignment horizontal="center"/>
    </xf>
    <xf numFmtId="0" fontId="2" fillId="0" borderId="9" xfId="0" applyFont="1" applyBorder="1" applyAlignment="1">
      <alignment horizontal="center"/>
    </xf>
    <xf numFmtId="0" fontId="2" fillId="0" borderId="3" xfId="0" applyFont="1" applyBorder="1" applyAlignment="1">
      <alignment horizontal="center"/>
    </xf>
    <xf numFmtId="9" fontId="0" fillId="0" borderId="83" xfId="0" applyNumberFormat="1" applyBorder="1"/>
    <xf numFmtId="9" fontId="0" fillId="0" borderId="0" xfId="3" applyFont="1" applyBorder="1"/>
    <xf numFmtId="9" fontId="0" fillId="0" borderId="4" xfId="3" applyFont="1" applyBorder="1"/>
    <xf numFmtId="9" fontId="0" fillId="0" borderId="83" xfId="3" applyFont="1" applyBorder="1"/>
    <xf numFmtId="0" fontId="33" fillId="31" borderId="0" xfId="0" applyFont="1" applyFill="1"/>
    <xf numFmtId="164" fontId="33" fillId="31" borderId="0" xfId="2" applyNumberFormat="1" applyFont="1" applyFill="1" applyAlignment="1"/>
    <xf numFmtId="0" fontId="0" fillId="0" borderId="0" xfId="0" applyAlignment="1">
      <alignment horizontal="center"/>
    </xf>
    <xf numFmtId="0" fontId="62" fillId="3" borderId="131" xfId="0" applyFont="1" applyFill="1" applyBorder="1"/>
    <xf numFmtId="0" fontId="62" fillId="3" borderId="0" xfId="0" applyFont="1" applyFill="1"/>
    <xf numFmtId="165" fontId="62" fillId="3" borderId="0" xfId="1" applyNumberFormat="1" applyFont="1" applyFill="1" applyBorder="1"/>
    <xf numFmtId="166" fontId="62" fillId="3" borderId="0" xfId="1" applyNumberFormat="1" applyFont="1" applyFill="1" applyBorder="1"/>
    <xf numFmtId="171" fontId="5" fillId="3" borderId="0" xfId="1" applyNumberFormat="1" applyFont="1" applyFill="1" applyBorder="1" applyAlignment="1">
      <alignment horizontal="right"/>
    </xf>
    <xf numFmtId="44" fontId="0" fillId="0" borderId="0" xfId="0" applyNumberFormat="1"/>
    <xf numFmtId="44" fontId="2" fillId="0" borderId="0" xfId="0" applyNumberFormat="1" applyFont="1"/>
    <xf numFmtId="9" fontId="2" fillId="0" borderId="0" xfId="0" applyNumberFormat="1" applyFont="1" applyAlignment="1">
      <alignment horizontal="center"/>
    </xf>
    <xf numFmtId="0" fontId="2" fillId="0" borderId="0" xfId="0" applyFont="1" applyAlignment="1">
      <alignment horizontal="center" vertical="center"/>
    </xf>
    <xf numFmtId="44" fontId="0" fillId="0" borderId="0" xfId="2" applyFont="1"/>
    <xf numFmtId="0" fontId="42" fillId="0" borderId="124" xfId="0" applyFont="1" applyBorder="1"/>
    <xf numFmtId="166" fontId="7" fillId="2" borderId="0" xfId="1" applyNumberFormat="1" applyFont="1" applyFill="1" applyBorder="1"/>
    <xf numFmtId="0" fontId="7" fillId="2" borderId="0" xfId="0" applyFont="1" applyFill="1"/>
    <xf numFmtId="2" fontId="53" fillId="0" borderId="70" xfId="0" applyNumberFormat="1" applyFont="1" applyBorder="1"/>
    <xf numFmtId="17" fontId="57" fillId="0" borderId="0" xfId="0" applyNumberFormat="1" applyFont="1"/>
    <xf numFmtId="0" fontId="57" fillId="2" borderId="0" xfId="0" applyFont="1" applyFill="1"/>
    <xf numFmtId="6" fontId="57" fillId="2" borderId="80" xfId="0" applyNumberFormat="1" applyFont="1" applyFill="1" applyBorder="1" applyAlignment="1">
      <alignment horizontal="center"/>
    </xf>
    <xf numFmtId="164" fontId="57" fillId="2" borderId="0" xfId="0" applyNumberFormat="1" applyFont="1" applyFill="1"/>
    <xf numFmtId="164" fontId="7" fillId="0" borderId="0" xfId="2" applyNumberFormat="1" applyFont="1" applyBorder="1"/>
    <xf numFmtId="164" fontId="47" fillId="0" borderId="0" xfId="2" applyNumberFormat="1" applyFont="1" applyBorder="1"/>
    <xf numFmtId="166" fontId="47" fillId="0" borderId="0" xfId="0" applyNumberFormat="1" applyFont="1"/>
    <xf numFmtId="166" fontId="7" fillId="0" borderId="0" xfId="1" applyNumberFormat="1" applyFont="1" applyBorder="1"/>
    <xf numFmtId="166" fontId="7" fillId="0" borderId="0" xfId="0" applyNumberFormat="1" applyFont="1"/>
    <xf numFmtId="44" fontId="7" fillId="0" borderId="0" xfId="2" applyFont="1" applyBorder="1"/>
    <xf numFmtId="164" fontId="47" fillId="0" borderId="0" xfId="2" applyNumberFormat="1" applyFont="1"/>
    <xf numFmtId="164" fontId="47" fillId="2" borderId="0" xfId="2" applyNumberFormat="1" applyFont="1" applyFill="1" applyBorder="1"/>
    <xf numFmtId="0" fontId="7" fillId="4" borderId="74" xfId="0" applyFont="1" applyFill="1" applyBorder="1" applyAlignment="1">
      <alignment horizontal="right"/>
    </xf>
    <xf numFmtId="0" fontId="7" fillId="4" borderId="118" xfId="0" applyFont="1" applyFill="1" applyBorder="1" applyAlignment="1">
      <alignment horizontal="center"/>
    </xf>
    <xf numFmtId="164" fontId="47" fillId="0" borderId="11" xfId="2" applyNumberFormat="1" applyFont="1" applyBorder="1"/>
    <xf numFmtId="164" fontId="7" fillId="0" borderId="11" xfId="2" applyNumberFormat="1" applyFont="1" applyBorder="1"/>
    <xf numFmtId="166" fontId="7" fillId="0" borderId="70" xfId="1" applyNumberFormat="1" applyFont="1" applyFill="1" applyBorder="1"/>
    <xf numFmtId="166" fontId="7" fillId="0" borderId="9" xfId="1" applyNumberFormat="1" applyFont="1" applyFill="1" applyBorder="1"/>
    <xf numFmtId="0" fontId="7" fillId="4" borderId="96" xfId="0" applyFont="1" applyFill="1" applyBorder="1" applyAlignment="1">
      <alignment horizontal="center"/>
    </xf>
    <xf numFmtId="164" fontId="7" fillId="0" borderId="14" xfId="2" applyNumberFormat="1" applyFont="1" applyFill="1" applyBorder="1"/>
    <xf numFmtId="0" fontId="7" fillId="0" borderId="11" xfId="0" applyFont="1" applyBorder="1"/>
    <xf numFmtId="0" fontId="7" fillId="0" borderId="146" xfId="0" applyFont="1" applyBorder="1"/>
    <xf numFmtId="166" fontId="7" fillId="0" borderId="93" xfId="1" applyNumberFormat="1" applyFont="1" applyFill="1" applyBorder="1"/>
    <xf numFmtId="164" fontId="47" fillId="0" borderId="146" xfId="2" applyNumberFormat="1" applyFont="1" applyBorder="1"/>
    <xf numFmtId="164" fontId="7" fillId="0" borderId="146" xfId="2" applyNumberFormat="1" applyFont="1" applyBorder="1"/>
    <xf numFmtId="166" fontId="7" fillId="0" borderId="114" xfId="1" applyNumberFormat="1" applyFont="1" applyFill="1" applyBorder="1"/>
    <xf numFmtId="166" fontId="7" fillId="4" borderId="147" xfId="0" applyNumberFormat="1" applyFont="1" applyFill="1" applyBorder="1" applyAlignment="1">
      <alignment horizontal="right"/>
    </xf>
    <xf numFmtId="164" fontId="7" fillId="4" borderId="106" xfId="2" applyNumberFormat="1" applyFont="1" applyFill="1" applyBorder="1" applyAlignment="1">
      <alignment horizontal="center"/>
    </xf>
    <xf numFmtId="164" fontId="7" fillId="0" borderId="92" xfId="2" applyNumberFormat="1" applyFont="1" applyBorder="1"/>
    <xf numFmtId="166" fontId="7" fillId="0" borderId="149" xfId="1" applyNumberFormat="1" applyFont="1" applyFill="1" applyBorder="1"/>
    <xf numFmtId="0" fontId="7" fillId="0" borderId="83" xfId="0" applyFont="1" applyBorder="1"/>
    <xf numFmtId="164" fontId="47" fillId="0" borderId="83" xfId="2" applyNumberFormat="1" applyFont="1" applyBorder="1"/>
    <xf numFmtId="164" fontId="7" fillId="0" borderId="83" xfId="2" applyNumberFormat="1" applyFont="1" applyBorder="1"/>
    <xf numFmtId="166" fontId="7" fillId="0" borderId="87" xfId="1" applyNumberFormat="1" applyFont="1" applyFill="1" applyBorder="1"/>
    <xf numFmtId="166" fontId="7" fillId="4" borderId="148" xfId="1" applyNumberFormat="1" applyFont="1" applyFill="1" applyBorder="1"/>
    <xf numFmtId="44" fontId="1" fillId="0" borderId="0" xfId="2" applyFont="1" applyAlignment="1">
      <alignment horizontal="center"/>
    </xf>
    <xf numFmtId="164" fontId="7" fillId="2" borderId="0" xfId="2" applyNumberFormat="1" applyFont="1" applyFill="1" applyBorder="1"/>
    <xf numFmtId="164" fontId="47" fillId="2" borderId="0" xfId="2" applyNumberFormat="1" applyFont="1" applyFill="1"/>
    <xf numFmtId="44" fontId="7" fillId="2" borderId="0" xfId="2" applyFont="1" applyFill="1" applyBorder="1"/>
    <xf numFmtId="44" fontId="7" fillId="2" borderId="0" xfId="0" applyNumberFormat="1" applyFont="1" applyFill="1"/>
    <xf numFmtId="166" fontId="52" fillId="2" borderId="0" xfId="1" applyNumberFormat="1" applyFont="1" applyFill="1" applyBorder="1" applyAlignment="1">
      <alignment horizontal="center"/>
    </xf>
    <xf numFmtId="0" fontId="42" fillId="2" borderId="0" xfId="0" applyFont="1" applyFill="1" applyAlignment="1">
      <alignment horizontal="center"/>
    </xf>
    <xf numFmtId="166" fontId="7" fillId="2" borderId="0" xfId="0" applyNumberFormat="1" applyFont="1" applyFill="1"/>
    <xf numFmtId="178" fontId="7" fillId="2" borderId="0" xfId="0" applyNumberFormat="1" applyFont="1" applyFill="1"/>
    <xf numFmtId="17" fontId="47" fillId="2" borderId="0" xfId="0" applyNumberFormat="1" applyFont="1" applyFill="1"/>
    <xf numFmtId="164" fontId="7" fillId="2" borderId="0" xfId="0" applyNumberFormat="1" applyFont="1" applyFill="1"/>
    <xf numFmtId="0" fontId="7" fillId="2" borderId="0" xfId="0" applyFont="1" applyFill="1" applyAlignment="1">
      <alignment horizontal="center"/>
    </xf>
    <xf numFmtId="166" fontId="7" fillId="2" borderId="0" xfId="0" applyNumberFormat="1" applyFont="1" applyFill="1" applyAlignment="1">
      <alignment horizontal="center"/>
    </xf>
    <xf numFmtId="0" fontId="92" fillId="0" borderId="0" xfId="0" applyFont="1"/>
    <xf numFmtId="0" fontId="92" fillId="0" borderId="14" xfId="0" applyFont="1" applyBorder="1"/>
    <xf numFmtId="0" fontId="19" fillId="0" borderId="0" xfId="0" applyFont="1"/>
    <xf numFmtId="171" fontId="5" fillId="2" borderId="133" xfId="1" applyNumberFormat="1" applyFont="1" applyFill="1" applyBorder="1" applyAlignment="1">
      <alignment horizontal="right"/>
    </xf>
    <xf numFmtId="171" fontId="5" fillId="3" borderId="133" xfId="1" applyNumberFormat="1" applyFont="1" applyFill="1" applyBorder="1" applyAlignment="1">
      <alignment horizontal="right"/>
    </xf>
    <xf numFmtId="171" fontId="46" fillId="23" borderId="133" xfId="1" applyNumberFormat="1" applyFont="1" applyFill="1" applyBorder="1" applyAlignment="1">
      <alignment horizontal="right"/>
    </xf>
    <xf numFmtId="171" fontId="5" fillId="2" borderId="150" xfId="1" applyNumberFormat="1" applyFont="1" applyFill="1" applyBorder="1" applyAlignment="1">
      <alignment horizontal="right"/>
    </xf>
    <xf numFmtId="0" fontId="5" fillId="0" borderId="133" xfId="0" applyFont="1" applyBorder="1"/>
    <xf numFmtId="171" fontId="5" fillId="0" borderId="133" xfId="0" applyNumberFormat="1" applyFont="1" applyBorder="1"/>
    <xf numFmtId="171" fontId="5" fillId="3" borderId="133" xfId="0" applyNumberFormat="1" applyFont="1" applyFill="1" applyBorder="1"/>
    <xf numFmtId="171" fontId="5" fillId="2" borderId="133" xfId="0" applyNumberFormat="1" applyFont="1" applyFill="1" applyBorder="1"/>
    <xf numFmtId="164" fontId="7" fillId="4" borderId="8" xfId="2" applyNumberFormat="1" applyFont="1" applyFill="1" applyBorder="1"/>
    <xf numFmtId="0" fontId="7" fillId="4" borderId="95" xfId="0" applyFont="1" applyFill="1" applyBorder="1" applyAlignment="1">
      <alignment horizontal="right"/>
    </xf>
    <xf numFmtId="0" fontId="47" fillId="0" borderId="11" xfId="0" applyFont="1" applyBorder="1"/>
    <xf numFmtId="0" fontId="7" fillId="4" borderId="78" xfId="0" applyFont="1" applyFill="1" applyBorder="1" applyAlignment="1">
      <alignment horizontal="right"/>
    </xf>
    <xf numFmtId="166" fontId="7" fillId="0" borderId="92" xfId="1" applyNumberFormat="1" applyFont="1" applyFill="1" applyBorder="1"/>
    <xf numFmtId="166" fontId="7" fillId="0" borderId="11" xfId="1" applyNumberFormat="1" applyFont="1" applyBorder="1"/>
    <xf numFmtId="44" fontId="7" fillId="0" borderId="11" xfId="2" applyFont="1" applyBorder="1"/>
    <xf numFmtId="0" fontId="2" fillId="0" borderId="0" xfId="0" applyFont="1" applyAlignment="1">
      <alignment horizontal="left" vertical="center"/>
    </xf>
    <xf numFmtId="0" fontId="91" fillId="0" borderId="74" xfId="0" applyFont="1" applyBorder="1"/>
    <xf numFmtId="166" fontId="7" fillId="0" borderId="115" xfId="0" applyNumberFormat="1" applyFont="1" applyBorder="1"/>
    <xf numFmtId="166" fontId="7" fillId="0" borderId="112" xfId="1" applyNumberFormat="1" applyFont="1" applyBorder="1"/>
    <xf numFmtId="166" fontId="7" fillId="24" borderId="112" xfId="0" applyNumberFormat="1" applyFont="1" applyFill="1" applyBorder="1"/>
    <xf numFmtId="166" fontId="91" fillId="0" borderId="15" xfId="0" applyNumberFormat="1" applyFont="1" applyBorder="1"/>
    <xf numFmtId="0" fontId="47" fillId="0" borderId="98" xfId="0" applyFont="1" applyBorder="1"/>
    <xf numFmtId="0" fontId="47" fillId="0" borderId="17" xfId="0" applyFont="1" applyBorder="1"/>
    <xf numFmtId="166" fontId="7" fillId="0" borderId="18" xfId="1" applyNumberFormat="1" applyFont="1" applyBorder="1"/>
    <xf numFmtId="44" fontId="7" fillId="0" borderId="18" xfId="2" applyFont="1" applyBorder="1"/>
    <xf numFmtId="166" fontId="7" fillId="0" borderId="151" xfId="1" applyNumberFormat="1" applyFont="1" applyBorder="1"/>
    <xf numFmtId="166" fontId="7" fillId="0" borderId="19" xfId="1" applyNumberFormat="1" applyFont="1" applyBorder="1"/>
    <xf numFmtId="164" fontId="7" fillId="4" borderId="89" xfId="2" applyNumberFormat="1" applyFont="1" applyFill="1" applyBorder="1" applyAlignment="1">
      <alignment horizontal="center"/>
    </xf>
    <xf numFmtId="0" fontId="7" fillId="4" borderId="89" xfId="0" applyFont="1" applyFill="1" applyBorder="1" applyAlignment="1">
      <alignment horizontal="center"/>
    </xf>
    <xf numFmtId="0" fontId="7" fillId="4" borderId="90" xfId="0" applyFont="1" applyFill="1" applyBorder="1" applyAlignment="1">
      <alignment horizontal="center"/>
    </xf>
    <xf numFmtId="0" fontId="7" fillId="4" borderId="101" xfId="0" applyFont="1" applyFill="1" applyBorder="1" applyAlignment="1">
      <alignment horizontal="right"/>
    </xf>
    <xf numFmtId="0" fontId="7" fillId="0" borderId="113" xfId="0" applyFont="1" applyBorder="1"/>
    <xf numFmtId="0" fontId="47" fillId="0" borderId="91" xfId="0" applyFont="1" applyBorder="1"/>
    <xf numFmtId="44" fontId="7" fillId="0" borderId="93" xfId="2" applyFont="1" applyBorder="1"/>
    <xf numFmtId="44" fontId="7" fillId="0" borderId="8" xfId="2" applyFont="1" applyBorder="1"/>
    <xf numFmtId="44" fontId="7" fillId="0" borderId="79" xfId="2" applyFont="1" applyBorder="1"/>
    <xf numFmtId="0" fontId="7" fillId="0" borderId="91" xfId="0" applyFont="1" applyBorder="1"/>
    <xf numFmtId="164" fontId="7" fillId="0" borderId="92" xfId="2" applyNumberFormat="1" applyFont="1" applyFill="1" applyBorder="1"/>
    <xf numFmtId="0" fontId="7" fillId="4" borderId="72" xfId="0" applyFont="1" applyFill="1" applyBorder="1" applyAlignment="1">
      <alignment horizontal="center"/>
    </xf>
    <xf numFmtId="0" fontId="7" fillId="4" borderId="94" xfId="0" applyFont="1" applyFill="1" applyBorder="1" applyAlignment="1">
      <alignment horizontal="right"/>
    </xf>
    <xf numFmtId="0" fontId="7" fillId="4" borderId="106" xfId="0" applyFont="1" applyFill="1" applyBorder="1" applyAlignment="1">
      <alignment horizontal="center"/>
    </xf>
    <xf numFmtId="166" fontId="7" fillId="0" borderId="92" xfId="1" applyNumberFormat="1" applyFont="1" applyBorder="1"/>
    <xf numFmtId="0" fontId="7" fillId="0" borderId="152" xfId="0" applyFont="1" applyBorder="1"/>
    <xf numFmtId="166" fontId="7" fillId="4" borderId="93" xfId="0" applyNumberFormat="1" applyFont="1" applyFill="1" applyBorder="1" applyAlignment="1">
      <alignment horizontal="center"/>
    </xf>
    <xf numFmtId="0" fontId="7" fillId="0" borderId="17" xfId="0" applyFont="1" applyBorder="1"/>
    <xf numFmtId="166" fontId="7" fillId="0" borderId="80" xfId="1" applyNumberFormat="1" applyFont="1" applyBorder="1"/>
    <xf numFmtId="44" fontId="7" fillId="0" borderId="80" xfId="0" applyNumberFormat="1" applyFont="1" applyBorder="1"/>
    <xf numFmtId="0" fontId="48" fillId="0" borderId="17" xfId="0" applyFont="1" applyBorder="1"/>
    <xf numFmtId="166" fontId="42" fillId="0" borderId="80" xfId="1" applyNumberFormat="1" applyFont="1" applyBorder="1"/>
    <xf numFmtId="0" fontId="42" fillId="0" borderId="17" xfId="0" applyFont="1" applyBorder="1"/>
    <xf numFmtId="0" fontId="42" fillId="0" borderId="80" xfId="0" applyFont="1" applyBorder="1" applyAlignment="1">
      <alignment horizontal="center"/>
    </xf>
    <xf numFmtId="44" fontId="42" fillId="0" borderId="80" xfId="2" applyFont="1" applyBorder="1" applyAlignment="1">
      <alignment horizontal="center"/>
    </xf>
    <xf numFmtId="166" fontId="52" fillId="0" borderId="80" xfId="1" applyNumberFormat="1" applyFont="1" applyBorder="1" applyAlignment="1">
      <alignment horizontal="center"/>
    </xf>
    <xf numFmtId="44" fontId="42" fillId="0" borderId="80" xfId="0" applyNumberFormat="1" applyFont="1" applyBorder="1" applyAlignment="1">
      <alignment horizontal="center"/>
    </xf>
    <xf numFmtId="0" fontId="93" fillId="0" borderId="0" xfId="0" applyFont="1" applyAlignment="1">
      <alignment horizontal="right"/>
    </xf>
    <xf numFmtId="170" fontId="47" fillId="15" borderId="0" xfId="0" applyNumberFormat="1" applyFont="1" applyFill="1"/>
    <xf numFmtId="0" fontId="7" fillId="15" borderId="153" xfId="0" applyFont="1" applyFill="1" applyBorder="1"/>
    <xf numFmtId="0" fontId="47" fillId="15" borderId="154" xfId="0" applyFont="1" applyFill="1" applyBorder="1"/>
    <xf numFmtId="0" fontId="7" fillId="0" borderId="154" xfId="0" applyFont="1" applyBorder="1"/>
    <xf numFmtId="0" fontId="7" fillId="0" borderId="155" xfId="0" applyFont="1" applyBorder="1"/>
    <xf numFmtId="170" fontId="47" fillId="0" borderId="156" xfId="0" applyNumberFormat="1" applyFont="1" applyBorder="1"/>
    <xf numFmtId="9" fontId="7" fillId="3" borderId="125" xfId="3" applyFont="1" applyFill="1" applyBorder="1"/>
    <xf numFmtId="0" fontId="47" fillId="0" borderId="157" xfId="0" applyFont="1" applyBorder="1"/>
    <xf numFmtId="170" fontId="7" fillId="27" borderId="158" xfId="0" applyNumberFormat="1" applyFont="1" applyFill="1" applyBorder="1"/>
    <xf numFmtId="170" fontId="7" fillId="2" borderId="159" xfId="0" applyNumberFormat="1" applyFont="1" applyFill="1" applyBorder="1"/>
    <xf numFmtId="0" fontId="47" fillId="0" borderId="160" xfId="0" applyFont="1" applyBorder="1"/>
    <xf numFmtId="0" fontId="42" fillId="3" borderId="80" xfId="0" applyFont="1" applyFill="1" applyBorder="1" applyAlignment="1">
      <alignment horizontal="center"/>
    </xf>
    <xf numFmtId="166" fontId="52" fillId="3" borderId="80" xfId="1" applyNumberFormat="1" applyFont="1" applyFill="1" applyBorder="1" applyAlignment="1">
      <alignment horizontal="center"/>
    </xf>
    <xf numFmtId="166" fontId="42" fillId="3" borderId="80" xfId="1" applyNumberFormat="1" applyFont="1" applyFill="1" applyBorder="1" applyAlignment="1">
      <alignment horizontal="center"/>
    </xf>
    <xf numFmtId="44" fontId="91" fillId="0" borderId="81" xfId="0" applyNumberFormat="1" applyFont="1" applyBorder="1"/>
    <xf numFmtId="166" fontId="91" fillId="0" borderId="81" xfId="1" applyNumberFormat="1" applyFont="1" applyBorder="1"/>
    <xf numFmtId="0" fontId="45" fillId="0" borderId="123" xfId="0" applyFont="1" applyBorder="1"/>
    <xf numFmtId="0" fontId="47" fillId="0" borderId="145" xfId="0" applyFont="1" applyBorder="1"/>
    <xf numFmtId="0" fontId="57" fillId="0" borderId="145" xfId="0" applyFont="1" applyBorder="1"/>
    <xf numFmtId="0" fontId="47" fillId="0" borderId="156" xfId="0" applyFont="1" applyBorder="1"/>
    <xf numFmtId="17" fontId="53" fillId="0" borderId="0" xfId="0" applyNumberFormat="1" applyFont="1"/>
    <xf numFmtId="166" fontId="53" fillId="0" borderId="0" xfId="0" applyNumberFormat="1" applyFont="1"/>
    <xf numFmtId="0" fontId="7" fillId="0" borderId="124" xfId="0" applyFont="1" applyBorder="1"/>
    <xf numFmtId="0" fontId="7" fillId="0" borderId="125" xfId="0" applyFont="1" applyBorder="1"/>
    <xf numFmtId="10" fontId="47" fillId="13" borderId="0" xfId="0" applyNumberFormat="1" applyFont="1" applyFill="1"/>
    <xf numFmtId="10" fontId="47" fillId="3" borderId="0" xfId="0" applyNumberFormat="1" applyFont="1" applyFill="1"/>
    <xf numFmtId="10" fontId="47" fillId="9" borderId="0" xfId="0" applyNumberFormat="1" applyFont="1" applyFill="1"/>
    <xf numFmtId="10" fontId="53" fillId="13" borderId="0" xfId="0" applyNumberFormat="1" applyFont="1" applyFill="1"/>
    <xf numFmtId="10" fontId="47" fillId="0" borderId="0" xfId="0" applyNumberFormat="1" applyFont="1"/>
    <xf numFmtId="10" fontId="53" fillId="0" borderId="0" xfId="0" applyNumberFormat="1" applyFont="1"/>
    <xf numFmtId="0" fontId="53" fillId="0" borderId="0" xfId="0" applyFont="1"/>
    <xf numFmtId="2" fontId="42" fillId="0" borderId="126" xfId="0" applyNumberFormat="1" applyFont="1" applyBorder="1"/>
    <xf numFmtId="0" fontId="48" fillId="0" borderId="157" xfId="0" applyFont="1" applyBorder="1"/>
    <xf numFmtId="43" fontId="48" fillId="0" borderId="158" xfId="1" applyFont="1" applyBorder="1"/>
    <xf numFmtId="0" fontId="47" fillId="0" borderId="158" xfId="0" applyFont="1" applyBorder="1"/>
    <xf numFmtId="0" fontId="57" fillId="0" borderId="158" xfId="0" applyFont="1" applyBorder="1"/>
    <xf numFmtId="0" fontId="2" fillId="2" borderId="21" xfId="0" applyFont="1" applyFill="1" applyBorder="1" applyAlignment="1">
      <alignment horizontal="center"/>
    </xf>
    <xf numFmtId="0" fontId="2" fillId="2" borderId="20" xfId="0" applyFont="1" applyFill="1" applyBorder="1" applyAlignment="1">
      <alignment horizontal="center"/>
    </xf>
    <xf numFmtId="0" fontId="0" fillId="0" borderId="0" xfId="0" applyAlignment="1">
      <alignment horizontal="center"/>
    </xf>
    <xf numFmtId="0" fontId="5" fillId="2" borderId="33" xfId="0" applyFont="1" applyFill="1" applyBorder="1" applyAlignment="1">
      <alignment horizontal="center"/>
    </xf>
    <xf numFmtId="0" fontId="5" fillId="2" borderId="47" xfId="0" applyFont="1" applyFill="1" applyBorder="1" applyAlignment="1">
      <alignment horizontal="center"/>
    </xf>
    <xf numFmtId="14" fontId="2" fillId="2" borderId="0" xfId="0" applyNumberFormat="1" applyFont="1" applyFill="1" applyAlignment="1">
      <alignment horizontal="center"/>
    </xf>
    <xf numFmtId="14" fontId="2" fillId="2" borderId="7" xfId="0" applyNumberFormat="1" applyFont="1" applyFill="1" applyBorder="1" applyAlignment="1">
      <alignment horizontal="center"/>
    </xf>
    <xf numFmtId="0" fontId="2" fillId="0" borderId="0" xfId="0" applyFont="1" applyAlignment="1">
      <alignment horizontal="center"/>
    </xf>
    <xf numFmtId="0" fontId="2" fillId="2" borderId="69" xfId="0" applyFont="1" applyFill="1" applyBorder="1" applyAlignment="1">
      <alignment horizontal="center" wrapText="1"/>
    </xf>
    <xf numFmtId="0" fontId="2" fillId="2" borderId="40" xfId="0" applyFont="1" applyFill="1" applyBorder="1" applyAlignment="1">
      <alignment horizontal="center" wrapText="1"/>
    </xf>
    <xf numFmtId="0" fontId="5" fillId="0" borderId="33" xfId="0" applyFont="1" applyBorder="1" applyAlignment="1">
      <alignment horizontal="center"/>
    </xf>
    <xf numFmtId="164" fontId="2" fillId="2" borderId="69" xfId="2" applyNumberFormat="1" applyFont="1" applyFill="1" applyBorder="1" applyAlignment="1">
      <alignment horizontal="center" wrapText="1"/>
    </xf>
    <xf numFmtId="164" fontId="2" fillId="2" borderId="40" xfId="2" applyNumberFormat="1" applyFont="1" applyFill="1" applyBorder="1" applyAlignment="1">
      <alignment horizontal="center" wrapText="1"/>
    </xf>
    <xf numFmtId="0" fontId="2" fillId="2" borderId="69" xfId="0" applyFont="1" applyFill="1" applyBorder="1" applyAlignment="1">
      <alignment horizontal="center"/>
    </xf>
    <xf numFmtId="0" fontId="2" fillId="2" borderId="40" xfId="0" applyFont="1" applyFill="1" applyBorder="1" applyAlignment="1">
      <alignment horizontal="center"/>
    </xf>
    <xf numFmtId="0" fontId="90" fillId="36" borderId="0" xfId="0" applyFont="1" applyFill="1" applyAlignment="1">
      <alignment horizontal="center"/>
    </xf>
    <xf numFmtId="0" fontId="6" fillId="36" borderId="0" xfId="0" applyFont="1" applyFill="1" applyAlignment="1">
      <alignment horizontal="center"/>
    </xf>
    <xf numFmtId="0" fontId="7" fillId="4" borderId="71" xfId="0" applyFont="1" applyFill="1" applyBorder="1" applyAlignment="1">
      <alignment horizontal="center"/>
    </xf>
    <xf numFmtId="0" fontId="7" fillId="4" borderId="72" xfId="0" applyFont="1" applyFill="1" applyBorder="1" applyAlignment="1">
      <alignment horizontal="center"/>
    </xf>
    <xf numFmtId="0" fontId="7" fillId="4" borderId="73" xfId="0" applyFont="1" applyFill="1" applyBorder="1" applyAlignment="1">
      <alignment horizontal="center"/>
    </xf>
    <xf numFmtId="0" fontId="42" fillId="4" borderId="17" xfId="0" applyFont="1" applyFill="1" applyBorder="1" applyAlignment="1">
      <alignment horizontal="center"/>
    </xf>
    <xf numFmtId="0" fontId="42" fillId="4" borderId="18" xfId="0" applyFont="1" applyFill="1" applyBorder="1" applyAlignment="1">
      <alignment horizontal="center"/>
    </xf>
    <xf numFmtId="0" fontId="42" fillId="4" borderId="71" xfId="0" applyFont="1" applyFill="1" applyBorder="1" applyAlignment="1">
      <alignment horizontal="center"/>
    </xf>
    <xf numFmtId="0" fontId="42" fillId="4" borderId="72" xfId="0" applyFont="1" applyFill="1" applyBorder="1" applyAlignment="1">
      <alignment horizontal="center"/>
    </xf>
    <xf numFmtId="0" fontId="42" fillId="4" borderId="73" xfId="0" applyFont="1" applyFill="1" applyBorder="1" applyAlignment="1">
      <alignment horizontal="center"/>
    </xf>
    <xf numFmtId="0" fontId="59" fillId="0" borderId="81" xfId="0" applyFont="1" applyBorder="1" applyAlignment="1">
      <alignment horizontal="center" vertical="center"/>
    </xf>
    <xf numFmtId="0" fontId="59" fillId="0" borderId="115" xfId="0" applyFont="1" applyBorder="1" applyAlignment="1">
      <alignment horizontal="center" vertical="center"/>
    </xf>
    <xf numFmtId="44" fontId="0" fillId="0" borderId="83" xfId="0" applyNumberFormat="1" applyBorder="1" applyAlignment="1">
      <alignment horizontal="center"/>
    </xf>
    <xf numFmtId="0" fontId="0" fillId="0" borderId="4" xfId="0" applyBorder="1" applyAlignment="1">
      <alignment horizontal="center"/>
    </xf>
    <xf numFmtId="44" fontId="0" fillId="0" borderId="84" xfId="0" applyNumberFormat="1" applyBorder="1" applyAlignment="1">
      <alignment horizontal="center"/>
    </xf>
    <xf numFmtId="0" fontId="0" fillId="0" borderId="16" xfId="0" applyBorder="1" applyAlignment="1">
      <alignment horizontal="center"/>
    </xf>
    <xf numFmtId="0" fontId="0" fillId="0" borderId="85" xfId="0" applyBorder="1" applyAlignment="1">
      <alignment horizontal="center"/>
    </xf>
    <xf numFmtId="0" fontId="33" fillId="31" borderId="0" xfId="0" applyFont="1" applyFill="1" applyAlignment="1">
      <alignment horizontal="center"/>
    </xf>
    <xf numFmtId="0" fontId="33" fillId="33" borderId="0" xfId="0" applyFont="1" applyFill="1" applyAlignment="1">
      <alignment horizontal="center"/>
    </xf>
    <xf numFmtId="0" fontId="33" fillId="34" borderId="0" xfId="0" applyFont="1" applyFill="1" applyAlignment="1">
      <alignment horizontal="center"/>
    </xf>
    <xf numFmtId="10" fontId="0" fillId="0" borderId="83" xfId="0" applyNumberFormat="1" applyBorder="1" applyAlignment="1">
      <alignment horizontal="center"/>
    </xf>
    <xf numFmtId="10" fontId="0" fillId="0" borderId="0" xfId="0" applyNumberFormat="1" applyAlignment="1">
      <alignment horizontal="center"/>
    </xf>
    <xf numFmtId="10" fontId="0" fillId="0" borderId="4" xfId="0" applyNumberFormat="1" applyBorder="1" applyAlignment="1">
      <alignment horizontal="center"/>
    </xf>
    <xf numFmtId="44" fontId="2" fillId="0" borderId="83" xfId="2" applyFont="1" applyBorder="1" applyAlignment="1">
      <alignment horizontal="center"/>
    </xf>
    <xf numFmtId="44" fontId="2" fillId="0" borderId="0" xfId="2" applyFont="1" applyBorder="1" applyAlignment="1">
      <alignment horizontal="center"/>
    </xf>
    <xf numFmtId="44" fontId="2" fillId="0" borderId="4" xfId="2" applyFont="1" applyBorder="1" applyAlignment="1">
      <alignment horizontal="center"/>
    </xf>
    <xf numFmtId="0" fontId="33" fillId="35" borderId="0" xfId="0" applyFont="1" applyFill="1" applyAlignment="1">
      <alignment horizontal="center"/>
    </xf>
    <xf numFmtId="0" fontId="36" fillId="17" borderId="70" xfId="0" applyFont="1" applyFill="1" applyBorder="1" applyAlignment="1">
      <alignment horizontal="center" vertical="center" wrapText="1"/>
    </xf>
    <xf numFmtId="0" fontId="36" fillId="17" borderId="114" xfId="0" applyFont="1" applyFill="1" applyBorder="1" applyAlignment="1">
      <alignment horizontal="center" vertical="center" wrapText="1"/>
    </xf>
    <xf numFmtId="6" fontId="86" fillId="17" borderId="70" xfId="0" applyNumberFormat="1" applyFont="1" applyFill="1" applyBorder="1" applyAlignment="1">
      <alignment horizontal="center" wrapText="1"/>
    </xf>
    <xf numFmtId="0" fontId="86" fillId="17" borderId="70" xfId="0" applyFont="1" applyFill="1" applyBorder="1" applyAlignment="1">
      <alignment horizontal="center" wrapText="1"/>
    </xf>
    <xf numFmtId="0" fontId="86" fillId="17" borderId="114" xfId="0" applyFont="1" applyFill="1" applyBorder="1" applyAlignment="1">
      <alignment horizontal="center" wrapText="1"/>
    </xf>
    <xf numFmtId="6" fontId="34" fillId="17" borderId="92" xfId="0" applyNumberFormat="1" applyFont="1" applyFill="1" applyBorder="1" applyAlignment="1">
      <alignment horizontal="center"/>
    </xf>
    <xf numFmtId="0" fontId="34" fillId="17" borderId="92" xfId="0" applyFont="1" applyFill="1" applyBorder="1" applyAlignment="1">
      <alignment horizontal="center"/>
    </xf>
    <xf numFmtId="0" fontId="34" fillId="17" borderId="93" xfId="0" applyFont="1" applyFill="1" applyBorder="1" applyAlignment="1">
      <alignment horizontal="center"/>
    </xf>
    <xf numFmtId="0" fontId="14" fillId="0" borderId="74" xfId="0" applyFont="1" applyBorder="1" applyAlignment="1">
      <alignment horizontal="center" vertical="center" wrapText="1"/>
    </xf>
    <xf numFmtId="0" fontId="14" fillId="0" borderId="0" xfId="0" applyFont="1" applyAlignment="1">
      <alignment horizontal="center" vertical="center" wrapText="1"/>
    </xf>
    <xf numFmtId="0" fontId="63" fillId="0" borderId="2" xfId="0" applyFont="1" applyBorder="1" applyAlignment="1">
      <alignment horizontal="center" vertical="top"/>
    </xf>
    <xf numFmtId="0" fontId="63" fillId="0" borderId="9" xfId="0" applyFont="1" applyBorder="1" applyAlignment="1">
      <alignment horizontal="center" vertical="top"/>
    </xf>
    <xf numFmtId="0" fontId="63" fillId="0" borderId="3" xfId="0" applyFont="1" applyBorder="1" applyAlignment="1">
      <alignment horizontal="center" vertical="top"/>
    </xf>
    <xf numFmtId="0" fontId="63" fillId="0" borderId="83" xfId="0" applyFont="1" applyBorder="1" applyAlignment="1">
      <alignment horizontal="center" vertical="top"/>
    </xf>
    <xf numFmtId="0" fontId="63" fillId="0" borderId="0" xfId="0" applyFont="1" applyAlignment="1">
      <alignment horizontal="center" vertical="top"/>
    </xf>
    <xf numFmtId="0" fontId="63" fillId="0" borderId="4" xfId="0" applyFont="1" applyBorder="1" applyAlignment="1">
      <alignment horizontal="center" vertical="top"/>
    </xf>
    <xf numFmtId="0" fontId="63" fillId="0" borderId="84" xfId="0" applyFont="1" applyBorder="1" applyAlignment="1">
      <alignment horizontal="center" vertical="top" wrapText="1"/>
    </xf>
    <xf numFmtId="0" fontId="63" fillId="0" borderId="16" xfId="0" applyFont="1" applyBorder="1" applyAlignment="1">
      <alignment horizontal="center" vertical="top" wrapText="1"/>
    </xf>
    <xf numFmtId="0" fontId="63" fillId="0" borderId="85" xfId="0" applyFont="1" applyBorder="1" applyAlignment="1">
      <alignment horizontal="center" vertical="top" wrapText="1"/>
    </xf>
    <xf numFmtId="0" fontId="23" fillId="0" borderId="87" xfId="0" applyFont="1" applyBorder="1" applyAlignment="1">
      <alignment horizontal="center" vertical="center" wrapText="1"/>
    </xf>
    <xf numFmtId="0" fontId="23" fillId="0" borderId="99" xfId="0" applyFont="1" applyBorder="1" applyAlignment="1">
      <alignment horizontal="center" vertical="center" wrapText="1"/>
    </xf>
    <xf numFmtId="0" fontId="23" fillId="0" borderId="102" xfId="0" applyFont="1" applyBorder="1" applyAlignment="1">
      <alignment horizontal="center" vertical="center" wrapText="1"/>
    </xf>
    <xf numFmtId="0" fontId="65" fillId="0" borderId="87" xfId="0" applyFont="1" applyBorder="1" applyAlignment="1">
      <alignment horizontal="left" vertical="top" wrapText="1"/>
    </xf>
    <xf numFmtId="0" fontId="65" fillId="0" borderId="99" xfId="0" applyFont="1" applyBorder="1" applyAlignment="1">
      <alignment horizontal="left" vertical="top" wrapText="1"/>
    </xf>
    <xf numFmtId="0" fontId="65" fillId="0" borderId="102" xfId="0" applyFont="1" applyBorder="1" applyAlignment="1">
      <alignment horizontal="left" vertical="top" wrapText="1"/>
    </xf>
    <xf numFmtId="0" fontId="67" fillId="0" borderId="8" xfId="0" applyFont="1" applyBorder="1" applyAlignment="1">
      <alignment horizontal="left" vertical="top" wrapText="1"/>
    </xf>
    <xf numFmtId="0" fontId="72" fillId="0" borderId="83" xfId="0" applyFont="1" applyBorder="1" applyAlignment="1">
      <alignment horizontal="center" vertical="center" wrapText="1"/>
    </xf>
    <xf numFmtId="0" fontId="72" fillId="0" borderId="0" xfId="0" applyFont="1" applyAlignment="1">
      <alignment horizontal="center" vertical="center" wrapText="1"/>
    </xf>
    <xf numFmtId="0" fontId="72" fillId="0" borderId="83" xfId="0" applyFont="1" applyBorder="1" applyAlignment="1">
      <alignment horizontal="center" vertical="top" wrapText="1"/>
    </xf>
    <xf numFmtId="0" fontId="72" fillId="0" borderId="0" xfId="0" applyFont="1" applyAlignment="1">
      <alignment horizontal="center" vertical="top" wrapText="1"/>
    </xf>
    <xf numFmtId="0" fontId="72" fillId="0" borderId="87" xfId="0" applyFont="1" applyBorder="1" applyAlignment="1">
      <alignment horizontal="center" vertical="top" wrapText="1"/>
    </xf>
    <xf numFmtId="0" fontId="72" fillId="0" borderId="99" xfId="0" applyFont="1" applyBorder="1" applyAlignment="1">
      <alignment horizontal="center" vertical="top" wrapText="1"/>
    </xf>
    <xf numFmtId="0" fontId="72" fillId="0" borderId="102" xfId="0" applyFont="1" applyBorder="1" applyAlignment="1">
      <alignment horizontal="center" vertical="top" wrapText="1"/>
    </xf>
    <xf numFmtId="0" fontId="70" fillId="0" borderId="87" xfId="0" applyFont="1" applyBorder="1" applyAlignment="1">
      <alignment horizontal="center" vertical="center" wrapText="1"/>
    </xf>
    <xf numFmtId="0" fontId="70" fillId="0" borderId="99" xfId="0" applyFont="1" applyBorder="1" applyAlignment="1">
      <alignment horizontal="center" vertical="center" wrapText="1"/>
    </xf>
    <xf numFmtId="0" fontId="70" fillId="0" borderId="102" xfId="0" applyFont="1" applyBorder="1" applyAlignment="1">
      <alignment horizontal="center" vertical="center" wrapText="1"/>
    </xf>
    <xf numFmtId="0" fontId="13" fillId="2" borderId="17" xfId="0" applyFont="1" applyFill="1" applyBorder="1" applyAlignment="1">
      <alignment horizontal="center"/>
    </xf>
    <xf numFmtId="0" fontId="13" fillId="2" borderId="18" xfId="0" applyFont="1" applyFill="1" applyBorder="1" applyAlignment="1">
      <alignment horizontal="center"/>
    </xf>
    <xf numFmtId="0" fontId="13" fillId="2" borderId="19" xfId="0" applyFont="1" applyFill="1" applyBorder="1" applyAlignment="1">
      <alignment horizontal="center"/>
    </xf>
    <xf numFmtId="176" fontId="35" fillId="0" borderId="87" xfId="0" applyNumberFormat="1" applyFont="1" applyBorder="1" applyAlignment="1">
      <alignment horizontal="center"/>
    </xf>
    <xf numFmtId="176" fontId="35" fillId="0" borderId="99" xfId="0" applyNumberFormat="1" applyFont="1" applyBorder="1" applyAlignment="1">
      <alignment horizontal="center"/>
    </xf>
    <xf numFmtId="176" fontId="35" fillId="0" borderId="102" xfId="0" applyNumberFormat="1" applyFont="1" applyBorder="1" applyAlignment="1">
      <alignment horizontal="center"/>
    </xf>
    <xf numFmtId="0" fontId="25" fillId="0" borderId="83" xfId="6" applyFont="1" applyBorder="1" applyAlignment="1">
      <alignment horizontal="left" vertical="center" wrapText="1"/>
    </xf>
    <xf numFmtId="0" fontId="25" fillId="0" borderId="0" xfId="6" applyFont="1" applyAlignment="1">
      <alignment horizontal="left" vertical="center" wrapText="1"/>
    </xf>
    <xf numFmtId="0" fontId="0" fillId="0" borderId="4" xfId="0" applyBorder="1"/>
    <xf numFmtId="0" fontId="25" fillId="0" borderId="83" xfId="6" applyFont="1" applyBorder="1" applyAlignment="1">
      <alignment vertical="center" wrapText="1"/>
    </xf>
    <xf numFmtId="0" fontId="28" fillId="0" borderId="0" xfId="6" applyFont="1" applyAlignment="1">
      <alignment vertical="center" wrapText="1"/>
    </xf>
    <xf numFmtId="0" fontId="25" fillId="0" borderId="83" xfId="6" applyFont="1" applyBorder="1" applyAlignment="1">
      <alignment vertical="center"/>
    </xf>
    <xf numFmtId="0" fontId="0" fillId="0" borderId="0" xfId="0" applyAlignment="1">
      <alignment vertical="center"/>
    </xf>
    <xf numFmtId="0" fontId="0" fillId="0" borderId="0" xfId="0" applyAlignment="1">
      <alignment horizontal="left" vertical="center" wrapText="1"/>
    </xf>
    <xf numFmtId="0" fontId="22" fillId="0" borderId="2" xfId="5" applyFont="1" applyBorder="1" applyAlignment="1">
      <alignment horizontal="center" vertical="center" wrapText="1"/>
    </xf>
    <xf numFmtId="0" fontId="22" fillId="0" borderId="9" xfId="5" applyFont="1" applyBorder="1" applyAlignment="1">
      <alignment horizontal="center" vertical="center" wrapText="1"/>
    </xf>
    <xf numFmtId="0" fontId="1" fillId="0" borderId="9" xfId="6" applyBorder="1"/>
    <xf numFmtId="0" fontId="0" fillId="0" borderId="3" xfId="0" applyBorder="1"/>
    <xf numFmtId="0" fontId="23" fillId="0" borderId="82" xfId="5" applyFont="1" applyBorder="1" applyAlignment="1">
      <alignment horizontal="center" vertical="center" wrapText="1"/>
    </xf>
    <xf numFmtId="0" fontId="1" fillId="0" borderId="46" xfId="6" applyBorder="1" applyAlignment="1">
      <alignment vertical="center"/>
    </xf>
    <xf numFmtId="0" fontId="0" fillId="0" borderId="45" xfId="0" applyBorder="1"/>
    <xf numFmtId="0" fontId="23" fillId="0" borderId="83" xfId="5" applyFont="1" applyBorder="1" applyAlignment="1">
      <alignment horizontal="center" vertical="center"/>
    </xf>
    <xf numFmtId="0" fontId="0" fillId="0" borderId="0" xfId="0"/>
    <xf numFmtId="0" fontId="24" fillId="0" borderId="83" xfId="6" applyFont="1" applyBorder="1" applyAlignment="1">
      <alignment vertical="center"/>
    </xf>
  </cellXfs>
  <cellStyles count="10">
    <cellStyle name="Comma" xfId="1" builtinId="3"/>
    <cellStyle name="Currency" xfId="2" builtinId="4"/>
    <cellStyle name="Currency 4" xfId="7" xr:uid="{7F7EBCF5-457D-40F8-A62B-D1682F48F786}"/>
    <cellStyle name="Hyperlink" xfId="9" builtinId="8"/>
    <cellStyle name="Normal" xfId="0" builtinId="0"/>
    <cellStyle name="Normal 2" xfId="4" xr:uid="{556D98CF-471E-4B62-AB91-F839E8CD0B3C}"/>
    <cellStyle name="Normal 6" xfId="6" xr:uid="{E2207765-B560-42F0-99D3-D25D082E6510}"/>
    <cellStyle name="Normal 8" xfId="5" xr:uid="{E76BD2C8-3078-4478-9FCE-A7076BE2A13F}"/>
    <cellStyle name="Percent" xfId="3" builtinId="5"/>
    <cellStyle name="Percent 2" xfId="8" xr:uid="{A49704F0-792D-42BF-89DC-5CBE1954D7ED}"/>
  </cellStyles>
  <dxfs count="0"/>
  <tableStyles count="0" defaultTableStyle="TableStyleMedium2" defaultPivotStyle="PivotStyleLight16"/>
  <colors>
    <mruColors>
      <color rgb="FF3E4D60"/>
      <color rgb="FF1B327B"/>
      <color rgb="FF43479B"/>
      <color rgb="FF4C12CC"/>
      <color rgb="FFFBA3EA"/>
      <color rgb="FFE9D9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Expenses (FY2024 Budget: $15,498,297)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ln w="25400">
              <a:noFill/>
            </a:ln>
          </c:spPr>
          <c:dPt>
            <c:idx val="0"/>
            <c:bubble3D val="0"/>
            <c:spPr>
              <a:solidFill>
                <a:schemeClr val="accent1"/>
              </a:solidFill>
              <a:ln w="25400">
                <a:noFill/>
              </a:ln>
              <a:effectLst/>
            </c:spPr>
            <c:extLst>
              <c:ext xmlns:c16="http://schemas.microsoft.com/office/drawing/2014/chart" uri="{C3380CC4-5D6E-409C-BE32-E72D297353CC}">
                <c16:uniqueId val="{00000001-A475-4E63-A85F-79BD0CCB5226}"/>
              </c:ext>
            </c:extLst>
          </c:dPt>
          <c:dPt>
            <c:idx val="1"/>
            <c:bubble3D val="0"/>
            <c:spPr>
              <a:solidFill>
                <a:schemeClr val="accent2"/>
              </a:solidFill>
              <a:ln w="25400">
                <a:noFill/>
              </a:ln>
              <a:effectLst/>
            </c:spPr>
            <c:extLst>
              <c:ext xmlns:c16="http://schemas.microsoft.com/office/drawing/2014/chart" uri="{C3380CC4-5D6E-409C-BE32-E72D297353CC}">
                <c16:uniqueId val="{00000003-A475-4E63-A85F-79BD0CCB5226}"/>
              </c:ext>
            </c:extLst>
          </c:dPt>
          <c:dPt>
            <c:idx val="2"/>
            <c:bubble3D val="0"/>
            <c:spPr>
              <a:solidFill>
                <a:schemeClr val="accent3"/>
              </a:solidFill>
              <a:ln w="25400">
                <a:noFill/>
              </a:ln>
              <a:effectLst/>
            </c:spPr>
            <c:extLst>
              <c:ext xmlns:c16="http://schemas.microsoft.com/office/drawing/2014/chart" uri="{C3380CC4-5D6E-409C-BE32-E72D297353CC}">
                <c16:uniqueId val="{00000005-A475-4E63-A85F-79BD0CCB5226}"/>
              </c:ext>
            </c:extLst>
          </c:dPt>
          <c:dPt>
            <c:idx val="3"/>
            <c:bubble3D val="0"/>
            <c:spPr>
              <a:solidFill>
                <a:schemeClr val="accent4"/>
              </a:solidFill>
              <a:ln w="25400">
                <a:noFill/>
              </a:ln>
              <a:effectLst/>
            </c:spPr>
            <c:extLst>
              <c:ext xmlns:c16="http://schemas.microsoft.com/office/drawing/2014/chart" uri="{C3380CC4-5D6E-409C-BE32-E72D297353CC}">
                <c16:uniqueId val="{00000007-A475-4E63-A85F-79BD0CCB52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'For Slides'!$C$168:$C$171</c:f>
              <c:strCache>
                <c:ptCount val="4"/>
                <c:pt idx="0">
                  <c:v>Killeen</c:v>
                </c:pt>
                <c:pt idx="1">
                  <c:v>Temple</c:v>
                </c:pt>
                <c:pt idx="2">
                  <c:v>Rural</c:v>
                </c:pt>
                <c:pt idx="3">
                  <c:v>Fort Cavazos</c:v>
                </c:pt>
              </c:strCache>
            </c:strRef>
          </c:cat>
          <c:val>
            <c:numRef>
              <c:f>'For Slides'!$D$168:$D$171</c:f>
              <c:numCache>
                <c:formatCode>_("$"* #,##0_);_("$"* \(#,##0\);_("$"* "-"_);_(@_)</c:formatCode>
                <c:ptCount val="4"/>
                <c:pt idx="0">
                  <c:v>0</c:v>
                </c:pt>
                <c:pt idx="1">
                  <c:v>0</c:v>
                </c:pt>
                <c:pt idx="2">
                  <c:v>0</c:v>
                </c:pt>
                <c:pt idx="3">
                  <c:v>0</c:v>
                </c:pt>
              </c:numCache>
            </c:numRef>
          </c:val>
          <c:extLst>
            <c:ext xmlns:c16="http://schemas.microsoft.com/office/drawing/2014/chart" uri="{C3380CC4-5D6E-409C-BE32-E72D297353CC}">
              <c16:uniqueId val="{00000014-2C71-40EF-9A8F-B74E5E72526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Revenues (FY2024 Budget: $16,193,491)</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87-4629-89C9-34387A02E9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87-4629-89C9-34387A02E9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587-4629-89C9-34387A02E9E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587-4629-89C9-34387A02E9E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587-4629-89C9-34387A02E9E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587-4629-89C9-34387A02E9E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587-4629-89C9-34387A02E9E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587-4629-89C9-34387A02E9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'For Slides'!$S$47:$S$54</c:f>
              <c:strCache>
                <c:ptCount val="8"/>
                <c:pt idx="0">
                  <c:v>Federal Grant Revenue</c:v>
                </c:pt>
                <c:pt idx="1">
                  <c:v>State Grant Revenue</c:v>
                </c:pt>
                <c:pt idx="2">
                  <c:v>Urban Medicaid Revenue</c:v>
                </c:pt>
                <c:pt idx="3">
                  <c:v>Fare Revenue</c:v>
                </c:pt>
                <c:pt idx="4">
                  <c:v>Urban Local</c:v>
                </c:pt>
                <c:pt idx="5">
                  <c:v>Rural Medicaid Revenue</c:v>
                </c:pt>
                <c:pt idx="6">
                  <c:v>Rural Local</c:v>
                </c:pt>
                <c:pt idx="7">
                  <c:v>Fort Cavazos</c:v>
                </c:pt>
              </c:strCache>
            </c:strRef>
          </c:cat>
          <c:val>
            <c:numRef>
              <c:f>'For Slides'!$T$47:$T$54</c:f>
              <c:numCache>
                <c:formatCode>_([$$-409]* #,##0_);_([$$-409]* \(#,##0\);_([$$-409]* "-"_);_(@_)</c:formatCode>
                <c:ptCount val="8"/>
                <c:pt idx="0">
                  <c:v>6664398</c:v>
                </c:pt>
                <c:pt idx="1">
                  <c:v>1525568</c:v>
                </c:pt>
                <c:pt idx="2">
                  <c:v>1113000</c:v>
                </c:pt>
                <c:pt idx="3">
                  <c:v>688851.2</c:v>
                </c:pt>
                <c:pt idx="4">
                  <c:v>1173772.0823938223</c:v>
                </c:pt>
                <c:pt idx="5">
                  <c:v>242661</c:v>
                </c:pt>
                <c:pt idx="6">
                  <c:v>543841</c:v>
                </c:pt>
                <c:pt idx="7">
                  <c:v>4241400</c:v>
                </c:pt>
              </c:numCache>
            </c:numRef>
          </c:val>
          <c:extLst>
            <c:ext xmlns:c16="http://schemas.microsoft.com/office/drawing/2014/chart" uri="{C3380CC4-5D6E-409C-BE32-E72D297353CC}">
              <c16:uniqueId val="{00000004-01D0-4874-A458-CC7D1E540E3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5</xdr:col>
      <xdr:colOff>523875</xdr:colOff>
      <xdr:row>164</xdr:row>
      <xdr:rowOff>123825</xdr:rowOff>
    </xdr:from>
    <xdr:to>
      <xdr:col>11</xdr:col>
      <xdr:colOff>866775</xdr:colOff>
      <xdr:row>180</xdr:row>
      <xdr:rowOff>9525</xdr:rowOff>
    </xdr:to>
    <xdr:graphicFrame macro="">
      <xdr:nvGraphicFramePr>
        <xdr:cNvPr id="3" name="Chart 2">
          <a:extLst>
            <a:ext uri="{FF2B5EF4-FFF2-40B4-BE49-F238E27FC236}">
              <a16:creationId xmlns:a16="http://schemas.microsoft.com/office/drawing/2014/main" id="{EDC2C19A-94B4-2D86-5C98-643295F090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95250</xdr:colOff>
      <xdr:row>45</xdr:row>
      <xdr:rowOff>9525</xdr:rowOff>
    </xdr:from>
    <xdr:to>
      <xdr:col>28</xdr:col>
      <xdr:colOff>314325</xdr:colOff>
      <xdr:row>66</xdr:row>
      <xdr:rowOff>171450</xdr:rowOff>
    </xdr:to>
    <xdr:graphicFrame macro="">
      <xdr:nvGraphicFramePr>
        <xdr:cNvPr id="4" name="Chart 3">
          <a:extLst>
            <a:ext uri="{FF2B5EF4-FFF2-40B4-BE49-F238E27FC236}">
              <a16:creationId xmlns:a16="http://schemas.microsoft.com/office/drawing/2014/main" id="{0C42C68D-64CB-4946-A764-226B8D82B5CC}"/>
            </a:ext>
            <a:ext uri="{147F2762-F138-4A5C-976F-8EAC2B608ADB}">
              <a16:predDERef xmlns:a16="http://schemas.microsoft.com/office/drawing/2014/main" pred="{EDC2C19A-94B4-2D86-5C98-643295F090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xdr:colOff>
      <xdr:row>1</xdr:row>
      <xdr:rowOff>129390</xdr:rowOff>
    </xdr:from>
    <xdr:to>
      <xdr:col>17</xdr:col>
      <xdr:colOff>634999</xdr:colOff>
      <xdr:row>21</xdr:row>
      <xdr:rowOff>87314</xdr:rowOff>
    </xdr:to>
    <xdr:pic>
      <xdr:nvPicPr>
        <xdr:cNvPr id="2" name="Picture 1">
          <a:extLst>
            <a:ext uri="{FF2B5EF4-FFF2-40B4-BE49-F238E27FC236}">
              <a16:creationId xmlns:a16="http://schemas.microsoft.com/office/drawing/2014/main" id="{300A5F8C-0E7C-BB36-AE20-13CC205959D5}"/>
            </a:ext>
          </a:extLst>
        </xdr:cNvPr>
        <xdr:cNvPicPr>
          <a:picLocks noChangeAspect="1"/>
        </xdr:cNvPicPr>
      </xdr:nvPicPr>
      <xdr:blipFill>
        <a:blip xmlns:r="http://schemas.openxmlformats.org/officeDocument/2006/relationships" r:embed="rId1"/>
        <a:stretch>
          <a:fillRect/>
        </a:stretch>
      </xdr:blipFill>
      <xdr:spPr>
        <a:xfrm>
          <a:off x="2" y="311953"/>
          <a:ext cx="11632404" cy="3787768"/>
        </a:xfrm>
        <a:prstGeom prst="rect">
          <a:avLst/>
        </a:prstGeom>
      </xdr:spPr>
    </xdr:pic>
    <xdr:clientData/>
  </xdr:twoCellAnchor>
  <xdr:twoCellAnchor editAs="oneCell">
    <xdr:from>
      <xdr:col>10</xdr:col>
      <xdr:colOff>3840</xdr:colOff>
      <xdr:row>21</xdr:row>
      <xdr:rowOff>156683</xdr:rowOff>
    </xdr:from>
    <xdr:to>
      <xdr:col>17</xdr:col>
      <xdr:colOff>88968</xdr:colOff>
      <xdr:row>29</xdr:row>
      <xdr:rowOff>66312</xdr:rowOff>
    </xdr:to>
    <xdr:pic>
      <xdr:nvPicPr>
        <xdr:cNvPr id="3" name="Picture 2">
          <a:extLst>
            <a:ext uri="{FF2B5EF4-FFF2-40B4-BE49-F238E27FC236}">
              <a16:creationId xmlns:a16="http://schemas.microsoft.com/office/drawing/2014/main" id="{CF895910-B111-2B60-AD9B-0B5E2EA13599}"/>
            </a:ext>
          </a:extLst>
        </xdr:cNvPr>
        <xdr:cNvPicPr>
          <a:picLocks noChangeAspect="1"/>
        </xdr:cNvPicPr>
      </xdr:nvPicPr>
      <xdr:blipFill>
        <a:blip xmlns:r="http://schemas.openxmlformats.org/officeDocument/2006/relationships" r:embed="rId2"/>
        <a:stretch>
          <a:fillRect/>
        </a:stretch>
      </xdr:blipFill>
      <xdr:spPr>
        <a:xfrm>
          <a:off x="6494667" y="4139516"/>
          <a:ext cx="4628707" cy="1409116"/>
        </a:xfrm>
        <a:prstGeom prst="rect">
          <a:avLst/>
        </a:prstGeom>
      </xdr:spPr>
    </xdr:pic>
    <xdr:clientData/>
  </xdr:twoCellAnchor>
  <xdr:twoCellAnchor editAs="oneCell">
    <xdr:from>
      <xdr:col>10</xdr:col>
      <xdr:colOff>171242</xdr:colOff>
      <xdr:row>29</xdr:row>
      <xdr:rowOff>168992</xdr:rowOff>
    </xdr:from>
    <xdr:to>
      <xdr:col>16</xdr:col>
      <xdr:colOff>591258</xdr:colOff>
      <xdr:row>36</xdr:row>
      <xdr:rowOff>163809</xdr:rowOff>
    </xdr:to>
    <xdr:pic>
      <xdr:nvPicPr>
        <xdr:cNvPr id="5" name="Picture 4">
          <a:extLst>
            <a:ext uri="{FF2B5EF4-FFF2-40B4-BE49-F238E27FC236}">
              <a16:creationId xmlns:a16="http://schemas.microsoft.com/office/drawing/2014/main" id="{A7A9D2CC-BD84-9ABA-CD20-D43278F6E4AB}"/>
            </a:ext>
          </a:extLst>
        </xdr:cNvPr>
        <xdr:cNvPicPr>
          <a:picLocks noChangeAspect="1"/>
        </xdr:cNvPicPr>
      </xdr:nvPicPr>
      <xdr:blipFill>
        <a:blip xmlns:r="http://schemas.openxmlformats.org/officeDocument/2006/relationships" r:embed="rId3"/>
        <a:stretch>
          <a:fillRect/>
        </a:stretch>
      </xdr:blipFill>
      <xdr:spPr>
        <a:xfrm>
          <a:off x="6662069" y="5615141"/>
          <a:ext cx="4314512" cy="12584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16</xdr:col>
      <xdr:colOff>428694</xdr:colOff>
      <xdr:row>33</xdr:row>
      <xdr:rowOff>66715</xdr:rowOff>
    </xdr:to>
    <xdr:pic>
      <xdr:nvPicPr>
        <xdr:cNvPr id="3" name="Picture 2">
          <a:extLst>
            <a:ext uri="{FF2B5EF4-FFF2-40B4-BE49-F238E27FC236}">
              <a16:creationId xmlns:a16="http://schemas.microsoft.com/office/drawing/2014/main" id="{96E73666-3129-0AF9-E64E-E65D130D074D}"/>
            </a:ext>
          </a:extLst>
        </xdr:cNvPr>
        <xdr:cNvPicPr>
          <a:picLocks noChangeAspect="1"/>
        </xdr:cNvPicPr>
      </xdr:nvPicPr>
      <xdr:blipFill>
        <a:blip xmlns:r="http://schemas.openxmlformats.org/officeDocument/2006/relationships" r:embed="rId1"/>
        <a:stretch>
          <a:fillRect/>
        </a:stretch>
      </xdr:blipFill>
      <xdr:spPr>
        <a:xfrm>
          <a:off x="1295400" y="542925"/>
          <a:ext cx="9496494" cy="5495965"/>
        </a:xfrm>
        <a:prstGeom prst="rect">
          <a:avLst/>
        </a:prstGeom>
      </xdr:spPr>
    </xdr:pic>
    <xdr:clientData/>
  </xdr:twoCellAnchor>
  <xdr:twoCellAnchor editAs="oneCell">
    <xdr:from>
      <xdr:col>2</xdr:col>
      <xdr:colOff>104775</xdr:colOff>
      <xdr:row>34</xdr:row>
      <xdr:rowOff>0</xdr:rowOff>
    </xdr:from>
    <xdr:to>
      <xdr:col>16</xdr:col>
      <xdr:colOff>123891</xdr:colOff>
      <xdr:row>54</xdr:row>
      <xdr:rowOff>57177</xdr:rowOff>
    </xdr:to>
    <xdr:pic>
      <xdr:nvPicPr>
        <xdr:cNvPr id="5" name="Picture 4">
          <a:extLst>
            <a:ext uri="{FF2B5EF4-FFF2-40B4-BE49-F238E27FC236}">
              <a16:creationId xmlns:a16="http://schemas.microsoft.com/office/drawing/2014/main" id="{61B8567E-380D-BBE4-F36A-3308D6975806}"/>
            </a:ext>
          </a:extLst>
        </xdr:cNvPr>
        <xdr:cNvPicPr>
          <a:picLocks noChangeAspect="1"/>
        </xdr:cNvPicPr>
      </xdr:nvPicPr>
      <xdr:blipFill>
        <a:blip xmlns:r="http://schemas.openxmlformats.org/officeDocument/2006/relationships" r:embed="rId2"/>
        <a:stretch>
          <a:fillRect/>
        </a:stretch>
      </xdr:blipFill>
      <xdr:spPr>
        <a:xfrm>
          <a:off x="1400175" y="6153150"/>
          <a:ext cx="9086916" cy="3676677"/>
        </a:xfrm>
        <a:prstGeom prst="rect">
          <a:avLst/>
        </a:prstGeom>
      </xdr:spPr>
    </xdr:pic>
    <xdr:clientData/>
  </xdr:twoCellAnchor>
  <xdr:twoCellAnchor editAs="oneCell">
    <xdr:from>
      <xdr:col>2</xdr:col>
      <xdr:colOff>119063</xdr:colOff>
      <xdr:row>54</xdr:row>
      <xdr:rowOff>134685</xdr:rowOff>
    </xdr:from>
    <xdr:to>
      <xdr:col>15</xdr:col>
      <xdr:colOff>242888</xdr:colOff>
      <xdr:row>66</xdr:row>
      <xdr:rowOff>85740</xdr:rowOff>
    </xdr:to>
    <xdr:pic>
      <xdr:nvPicPr>
        <xdr:cNvPr id="6" name="Picture 5">
          <a:extLst>
            <a:ext uri="{FF2B5EF4-FFF2-40B4-BE49-F238E27FC236}">
              <a16:creationId xmlns:a16="http://schemas.microsoft.com/office/drawing/2014/main" id="{D81407F4-E9B0-08DE-FD7E-585A684F3DA0}"/>
            </a:ext>
          </a:extLst>
        </xdr:cNvPr>
        <xdr:cNvPicPr>
          <a:picLocks noChangeAspect="1"/>
        </xdr:cNvPicPr>
      </xdr:nvPicPr>
      <xdr:blipFill>
        <a:blip xmlns:r="http://schemas.openxmlformats.org/officeDocument/2006/relationships" r:embed="rId3"/>
        <a:stretch>
          <a:fillRect/>
        </a:stretch>
      </xdr:blipFill>
      <xdr:spPr>
        <a:xfrm>
          <a:off x="1414463" y="9907335"/>
          <a:ext cx="8543925" cy="21227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0</xdr:colOff>
      <xdr:row>101</xdr:row>
      <xdr:rowOff>0</xdr:rowOff>
    </xdr:from>
    <xdr:to>
      <xdr:col>18</xdr:col>
      <xdr:colOff>393349</xdr:colOff>
      <xdr:row>131</xdr:row>
      <xdr:rowOff>68587</xdr:rowOff>
    </xdr:to>
    <xdr:pic>
      <xdr:nvPicPr>
        <xdr:cNvPr id="2" name="Picture 1">
          <a:extLst>
            <a:ext uri="{FF2B5EF4-FFF2-40B4-BE49-F238E27FC236}">
              <a16:creationId xmlns:a16="http://schemas.microsoft.com/office/drawing/2014/main" id="{0371A06B-B03B-1668-011D-F4D1D0DB4EFB}"/>
            </a:ext>
          </a:extLst>
        </xdr:cNvPr>
        <xdr:cNvPicPr>
          <a:picLocks noChangeAspect="1"/>
        </xdr:cNvPicPr>
      </xdr:nvPicPr>
      <xdr:blipFill>
        <a:blip xmlns:r="http://schemas.openxmlformats.org/officeDocument/2006/relationships" r:embed="rId1"/>
        <a:stretch>
          <a:fillRect/>
        </a:stretch>
      </xdr:blipFill>
      <xdr:spPr>
        <a:xfrm>
          <a:off x="15253804" y="10746686"/>
          <a:ext cx="4772060" cy="5591216"/>
        </a:xfrm>
        <a:prstGeom prst="rect">
          <a:avLst/>
        </a:prstGeom>
      </xdr:spPr>
    </xdr:pic>
    <xdr:clientData/>
  </xdr:twoCellAnchor>
  <xdr:twoCellAnchor editAs="oneCell">
    <xdr:from>
      <xdr:col>15</xdr:col>
      <xdr:colOff>0</xdr:colOff>
      <xdr:row>101</xdr:row>
      <xdr:rowOff>0</xdr:rowOff>
    </xdr:from>
    <xdr:to>
      <xdr:col>19</xdr:col>
      <xdr:colOff>135074</xdr:colOff>
      <xdr:row>104</xdr:row>
      <xdr:rowOff>176843</xdr:rowOff>
    </xdr:to>
    <xdr:pic>
      <xdr:nvPicPr>
        <xdr:cNvPr id="4" name="Picture 3">
          <a:extLst>
            <a:ext uri="{FF2B5EF4-FFF2-40B4-BE49-F238E27FC236}">
              <a16:creationId xmlns:a16="http://schemas.microsoft.com/office/drawing/2014/main" id="{D63EB9DB-8CBA-DA22-82A7-79E74EB8D545}"/>
            </a:ext>
          </a:extLst>
        </xdr:cNvPr>
        <xdr:cNvPicPr>
          <a:picLocks noChangeAspect="1"/>
        </xdr:cNvPicPr>
      </xdr:nvPicPr>
      <xdr:blipFill>
        <a:blip xmlns:r="http://schemas.openxmlformats.org/officeDocument/2006/relationships" r:embed="rId2"/>
        <a:stretch>
          <a:fillRect/>
        </a:stretch>
      </xdr:blipFill>
      <xdr:spPr>
        <a:xfrm>
          <a:off x="15253804" y="16413370"/>
          <a:ext cx="5162588" cy="838206"/>
        </a:xfrm>
        <a:prstGeom prst="rect">
          <a:avLst/>
        </a:prstGeom>
      </xdr:spPr>
    </xdr:pic>
    <xdr:clientData/>
  </xdr:twoCellAnchor>
  <xdr:twoCellAnchor editAs="oneCell">
    <xdr:from>
      <xdr:col>15</xdr:col>
      <xdr:colOff>41413</xdr:colOff>
      <xdr:row>101</xdr:row>
      <xdr:rowOff>0</xdr:rowOff>
    </xdr:from>
    <xdr:to>
      <xdr:col>17</xdr:col>
      <xdr:colOff>1152210</xdr:colOff>
      <xdr:row>138</xdr:row>
      <xdr:rowOff>64407</xdr:rowOff>
    </xdr:to>
    <xdr:pic>
      <xdr:nvPicPr>
        <xdr:cNvPr id="6" name="Picture 5">
          <a:extLst>
            <a:ext uri="{FF2B5EF4-FFF2-40B4-BE49-F238E27FC236}">
              <a16:creationId xmlns:a16="http://schemas.microsoft.com/office/drawing/2014/main" id="{3CD3F841-0540-AA8F-9592-5D181149377E}"/>
            </a:ext>
          </a:extLst>
        </xdr:cNvPr>
        <xdr:cNvPicPr>
          <a:picLocks noChangeAspect="1"/>
        </xdr:cNvPicPr>
      </xdr:nvPicPr>
      <xdr:blipFill>
        <a:blip xmlns:r="http://schemas.openxmlformats.org/officeDocument/2006/relationships" r:embed="rId3"/>
        <a:stretch>
          <a:fillRect/>
        </a:stretch>
      </xdr:blipFill>
      <xdr:spPr>
        <a:xfrm>
          <a:off x="21251722" y="12421778"/>
          <a:ext cx="3760697" cy="69051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39</xdr:row>
      <xdr:rowOff>86594</xdr:rowOff>
    </xdr:from>
    <xdr:to>
      <xdr:col>12</xdr:col>
      <xdr:colOff>289179</xdr:colOff>
      <xdr:row>69</xdr:row>
      <xdr:rowOff>87252</xdr:rowOff>
    </xdr:to>
    <xdr:pic>
      <xdr:nvPicPr>
        <xdr:cNvPr id="2" name="Picture 1">
          <a:extLst>
            <a:ext uri="{FF2B5EF4-FFF2-40B4-BE49-F238E27FC236}">
              <a16:creationId xmlns:a16="http://schemas.microsoft.com/office/drawing/2014/main" id="{23873FC9-75BB-B044-7AA5-F8DFAC1C2328}"/>
            </a:ext>
          </a:extLst>
        </xdr:cNvPr>
        <xdr:cNvPicPr>
          <a:picLocks noChangeAspect="1"/>
        </xdr:cNvPicPr>
      </xdr:nvPicPr>
      <xdr:blipFill>
        <a:blip xmlns:r="http://schemas.openxmlformats.org/officeDocument/2006/relationships" r:embed="rId1"/>
        <a:stretch>
          <a:fillRect/>
        </a:stretch>
      </xdr:blipFill>
      <xdr:spPr>
        <a:xfrm>
          <a:off x="903019" y="8232325"/>
          <a:ext cx="12058738" cy="5381664"/>
        </a:xfrm>
        <a:prstGeom prst="rect">
          <a:avLst/>
        </a:prstGeom>
      </xdr:spPr>
    </xdr:pic>
    <xdr:clientData/>
  </xdr:twoCellAnchor>
  <xdr:twoCellAnchor>
    <xdr:from>
      <xdr:col>2</xdr:col>
      <xdr:colOff>896834</xdr:colOff>
      <xdr:row>9</xdr:row>
      <xdr:rowOff>222662</xdr:rowOff>
    </xdr:from>
    <xdr:to>
      <xdr:col>4</xdr:col>
      <xdr:colOff>154626</xdr:colOff>
      <xdr:row>21</xdr:row>
      <xdr:rowOff>18555</xdr:rowOff>
    </xdr:to>
    <xdr:cxnSp macro="">
      <xdr:nvCxnSpPr>
        <xdr:cNvPr id="4" name="Straight Arrow Connector 3">
          <a:extLst>
            <a:ext uri="{FF2B5EF4-FFF2-40B4-BE49-F238E27FC236}">
              <a16:creationId xmlns:a16="http://schemas.microsoft.com/office/drawing/2014/main" id="{7ABA22AB-D6DD-0639-297C-CBFA409D3A54}"/>
            </a:ext>
          </a:extLst>
        </xdr:cNvPr>
        <xdr:cNvCxnSpPr/>
      </xdr:nvCxnSpPr>
      <xdr:spPr>
        <a:xfrm flipV="1">
          <a:off x="2449286" y="2226623"/>
          <a:ext cx="1063831" cy="2579172"/>
        </a:xfrm>
        <a:prstGeom prst="straightConnector1">
          <a:avLst/>
        </a:prstGeom>
        <a:ln w="19050">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884464</xdr:colOff>
      <xdr:row>13</xdr:row>
      <xdr:rowOff>18555</xdr:rowOff>
    </xdr:from>
    <xdr:to>
      <xdr:col>4</xdr:col>
      <xdr:colOff>55665</xdr:colOff>
      <xdr:row>23</xdr:row>
      <xdr:rowOff>0</xdr:rowOff>
    </xdr:to>
    <xdr:cxnSp macro="">
      <xdr:nvCxnSpPr>
        <xdr:cNvPr id="6" name="Straight Arrow Connector 5">
          <a:extLst>
            <a:ext uri="{FF2B5EF4-FFF2-40B4-BE49-F238E27FC236}">
              <a16:creationId xmlns:a16="http://schemas.microsoft.com/office/drawing/2014/main" id="{A069C7F8-E3EE-4561-95C9-CB85E88A9C03}"/>
            </a:ext>
          </a:extLst>
        </xdr:cNvPr>
        <xdr:cNvCxnSpPr/>
      </xdr:nvCxnSpPr>
      <xdr:spPr>
        <a:xfrm flipV="1">
          <a:off x="2436916" y="2944091"/>
          <a:ext cx="977240" cy="2300844"/>
        </a:xfrm>
        <a:prstGeom prst="straightConnector1">
          <a:avLst/>
        </a:prstGeom>
        <a:ln w="19050">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315612</xdr:colOff>
      <xdr:row>0</xdr:row>
      <xdr:rowOff>128717</xdr:rowOff>
    </xdr:from>
    <xdr:to>
      <xdr:col>15</xdr:col>
      <xdr:colOff>601362</xdr:colOff>
      <xdr:row>70</xdr:row>
      <xdr:rowOff>31880</xdr:rowOff>
    </xdr:to>
    <xdr:pic>
      <xdr:nvPicPr>
        <xdr:cNvPr id="2" name="Picture 1">
          <a:extLst>
            <a:ext uri="{FF2B5EF4-FFF2-40B4-BE49-F238E27FC236}">
              <a16:creationId xmlns:a16="http://schemas.microsoft.com/office/drawing/2014/main" id="{34C960CF-A931-6930-79CB-A1DC6397B38A}"/>
            </a:ext>
          </a:extLst>
        </xdr:cNvPr>
        <xdr:cNvPicPr>
          <a:picLocks noChangeAspect="1"/>
        </xdr:cNvPicPr>
      </xdr:nvPicPr>
      <xdr:blipFill>
        <a:blip xmlns:r="http://schemas.openxmlformats.org/officeDocument/2006/relationships" r:embed="rId1"/>
        <a:stretch>
          <a:fillRect/>
        </a:stretch>
      </xdr:blipFill>
      <xdr:spPr>
        <a:xfrm>
          <a:off x="965630" y="128717"/>
          <a:ext cx="9385986" cy="12517352"/>
        </a:xfrm>
        <a:prstGeom prst="rect">
          <a:avLst/>
        </a:prstGeom>
      </xdr:spPr>
    </xdr:pic>
    <xdr:clientData/>
  </xdr:twoCellAnchor>
  <xdr:twoCellAnchor editAs="oneCell">
    <xdr:from>
      <xdr:col>1</xdr:col>
      <xdr:colOff>573688</xdr:colOff>
      <xdr:row>74</xdr:row>
      <xdr:rowOff>29475</xdr:rowOff>
    </xdr:from>
    <xdr:to>
      <xdr:col>13</xdr:col>
      <xdr:colOff>64100</xdr:colOff>
      <xdr:row>109</xdr:row>
      <xdr:rowOff>93096</xdr:rowOff>
    </xdr:to>
    <xdr:pic>
      <xdr:nvPicPr>
        <xdr:cNvPr id="3" name="Picture 2">
          <a:extLst>
            <a:ext uri="{FF2B5EF4-FFF2-40B4-BE49-F238E27FC236}">
              <a16:creationId xmlns:a16="http://schemas.microsoft.com/office/drawing/2014/main" id="{6018DDAB-5125-C711-8829-9B9A7DEADFAE}"/>
            </a:ext>
          </a:extLst>
        </xdr:cNvPr>
        <xdr:cNvPicPr>
          <a:picLocks noChangeAspect="1"/>
        </xdr:cNvPicPr>
      </xdr:nvPicPr>
      <xdr:blipFill>
        <a:blip xmlns:r="http://schemas.openxmlformats.org/officeDocument/2006/relationships" r:embed="rId2"/>
        <a:stretch>
          <a:fillRect/>
        </a:stretch>
      </xdr:blipFill>
      <xdr:spPr>
        <a:xfrm>
          <a:off x="1223706" y="13364475"/>
          <a:ext cx="7290614" cy="6370715"/>
        </a:xfrm>
        <a:prstGeom prst="rect">
          <a:avLst/>
        </a:prstGeom>
      </xdr:spPr>
    </xdr:pic>
    <xdr:clientData/>
  </xdr:twoCellAnchor>
  <xdr:twoCellAnchor>
    <xdr:from>
      <xdr:col>1</xdr:col>
      <xdr:colOff>637144</xdr:colOff>
      <xdr:row>56</xdr:row>
      <xdr:rowOff>64358</xdr:rowOff>
    </xdr:from>
    <xdr:to>
      <xdr:col>15</xdr:col>
      <xdr:colOff>553479</xdr:colOff>
      <xdr:row>70</xdr:row>
      <xdr:rowOff>45051</xdr:rowOff>
    </xdr:to>
    <xdr:sp macro="" textlink="">
      <xdr:nvSpPr>
        <xdr:cNvPr id="4" name="Rectangle 3">
          <a:extLst>
            <a:ext uri="{FF2B5EF4-FFF2-40B4-BE49-F238E27FC236}">
              <a16:creationId xmlns:a16="http://schemas.microsoft.com/office/drawing/2014/main" id="{02911720-3BFA-1056-A1AD-AAAED8B134E4}"/>
            </a:ext>
          </a:extLst>
        </xdr:cNvPr>
        <xdr:cNvSpPr/>
      </xdr:nvSpPr>
      <xdr:spPr>
        <a:xfrm>
          <a:off x="1287162" y="10155709"/>
          <a:ext cx="9016571" cy="250353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538163</xdr:colOff>
      <xdr:row>0</xdr:row>
      <xdr:rowOff>0</xdr:rowOff>
    </xdr:from>
    <xdr:ext cx="10458526" cy="6705601"/>
    <xdr:pic>
      <xdr:nvPicPr>
        <xdr:cNvPr id="2" name="Picture 1">
          <a:extLst>
            <a:ext uri="{FF2B5EF4-FFF2-40B4-BE49-F238E27FC236}">
              <a16:creationId xmlns:a16="http://schemas.microsoft.com/office/drawing/2014/main" id="{42EBCA10-0BAC-49CF-8AAB-D100B23EB010}"/>
            </a:ext>
          </a:extLst>
        </xdr:cNvPr>
        <xdr:cNvPicPr>
          <a:picLocks noChangeAspect="1"/>
        </xdr:cNvPicPr>
      </xdr:nvPicPr>
      <xdr:blipFill>
        <a:blip xmlns:r="http://schemas.openxmlformats.org/officeDocument/2006/relationships" r:embed="rId1"/>
        <a:stretch>
          <a:fillRect/>
        </a:stretch>
      </xdr:blipFill>
      <xdr:spPr>
        <a:xfrm>
          <a:off x="538163" y="0"/>
          <a:ext cx="10458526" cy="6705601"/>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8</xdr:col>
      <xdr:colOff>0</xdr:colOff>
      <xdr:row>2</xdr:row>
      <xdr:rowOff>0</xdr:rowOff>
    </xdr:from>
    <xdr:ext cx="5899804" cy="2906069"/>
    <xdr:pic>
      <xdr:nvPicPr>
        <xdr:cNvPr id="2" name="Picture 1" descr="A screenshot of a spreadsheet&#10;&#10;Description automatically generated">
          <a:extLst>
            <a:ext uri="{FF2B5EF4-FFF2-40B4-BE49-F238E27FC236}">
              <a16:creationId xmlns:a16="http://schemas.microsoft.com/office/drawing/2014/main" id="{E6ADB258-7605-428C-8753-64D05B1C532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181600" y="361950"/>
          <a:ext cx="5899804" cy="2906069"/>
        </a:xfrm>
        <a:prstGeom prst="rect">
          <a:avLst/>
        </a:prstGeom>
      </xdr:spPr>
    </xdr:pic>
    <xdr:clientData/>
  </xdr:oneCellAnchor>
  <xdr:oneCellAnchor>
    <xdr:from>
      <xdr:col>8</xdr:col>
      <xdr:colOff>35093</xdr:colOff>
      <xdr:row>18</xdr:row>
      <xdr:rowOff>52098</xdr:rowOff>
    </xdr:from>
    <xdr:ext cx="5899804" cy="2544482"/>
    <xdr:pic>
      <xdr:nvPicPr>
        <xdr:cNvPr id="3" name="Picture 2" descr="A screenshot of a spreadsheet&#10;&#10;Description automatically generated">
          <a:extLst>
            <a:ext uri="{FF2B5EF4-FFF2-40B4-BE49-F238E27FC236}">
              <a16:creationId xmlns:a16="http://schemas.microsoft.com/office/drawing/2014/main" id="{373B81AC-D85D-4774-95BA-CAC8061382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16693" y="3309648"/>
          <a:ext cx="5899804" cy="2544482"/>
        </a:xfrm>
        <a:prstGeom prst="rect">
          <a:avLst/>
        </a:prstGeom>
      </xdr:spPr>
    </xdr:pic>
    <xdr:clientData/>
  </xdr:oneCellAnchor>
  <xdr:oneCellAnchor>
    <xdr:from>
      <xdr:col>8</xdr:col>
      <xdr:colOff>65968</xdr:colOff>
      <xdr:row>35</xdr:row>
      <xdr:rowOff>53080</xdr:rowOff>
    </xdr:from>
    <xdr:ext cx="5899007" cy="2899863"/>
    <xdr:pic>
      <xdr:nvPicPr>
        <xdr:cNvPr id="4" name="Picture 3" descr="A table with numbers and a number of dollars&#10;&#10;Description automatically generated with medium confidence">
          <a:extLst>
            <a:ext uri="{FF2B5EF4-FFF2-40B4-BE49-F238E27FC236}">
              <a16:creationId xmlns:a16="http://schemas.microsoft.com/office/drawing/2014/main" id="{B8D58FD3-374E-4B92-8EC1-26FB0C39219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247568" y="6387205"/>
          <a:ext cx="5899007" cy="2899863"/>
        </a:xfrm>
        <a:prstGeom prst="rect">
          <a:avLst/>
        </a:prstGeom>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ransit.dot.gov/funding/apportionments/current-apportionment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transit.dot.gov/funding/apportionments/current-apportionments"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transit.dot.gov/funding/apportionments/current-apportionments"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FF30B-910B-4704-BEC5-EB0768964F5C}">
  <sheetPr>
    <pageSetUpPr fitToPage="1"/>
  </sheetPr>
  <dimension ref="A1:Z172"/>
  <sheetViews>
    <sheetView zoomScaleNormal="100" workbookViewId="0">
      <selection activeCell="S24" sqref="S24"/>
    </sheetView>
  </sheetViews>
  <sheetFormatPr defaultRowHeight="14.4" x14ac:dyDescent="0.3"/>
  <cols>
    <col min="1" max="1" width="1.44140625" customWidth="1"/>
    <col min="2" max="2" width="39.44140625" customWidth="1"/>
    <col min="3" max="3" width="12.33203125" customWidth="1"/>
    <col min="4" max="4" width="13.6640625" style="2" customWidth="1"/>
    <col min="5" max="5" width="4.6640625" style="1" customWidth="1"/>
    <col min="6" max="6" width="10" customWidth="1"/>
    <col min="7" max="8" width="11.33203125" customWidth="1"/>
    <col min="9" max="11" width="9.33203125" customWidth="1"/>
    <col min="12" max="12" width="13.5546875" style="1" customWidth="1"/>
    <col min="13" max="14" width="13.6640625" style="1" hidden="1" customWidth="1"/>
    <col min="15" max="15" width="13.5546875" hidden="1" customWidth="1"/>
    <col min="16" max="16" width="13.33203125" hidden="1" customWidth="1"/>
    <col min="17" max="17" width="1.44140625" customWidth="1"/>
    <col min="18" max="18" width="14.6640625" bestFit="1" customWidth="1"/>
    <col min="19" max="19" width="23.109375" customWidth="1"/>
    <col min="20" max="20" width="16.6640625" customWidth="1"/>
    <col min="21" max="21" width="6.33203125" customWidth="1"/>
    <col min="22" max="22" width="15" customWidth="1"/>
    <col min="23" max="23" width="14.6640625" customWidth="1"/>
    <col min="24" max="24" width="14" customWidth="1"/>
    <col min="25" max="25" width="9.109375" customWidth="1"/>
    <col min="26" max="26" width="11.33203125" customWidth="1"/>
    <col min="27" max="27" width="15.33203125" customWidth="1"/>
  </cols>
  <sheetData>
    <row r="1" spans="1:26" x14ac:dyDescent="0.3">
      <c r="A1" t="s">
        <v>0</v>
      </c>
    </row>
    <row r="2" spans="1:26" x14ac:dyDescent="0.3">
      <c r="A2" t="s">
        <v>1</v>
      </c>
    </row>
    <row r="3" spans="1:26" x14ac:dyDescent="0.3">
      <c r="A3" t="s">
        <v>2</v>
      </c>
    </row>
    <row r="5" spans="1:26" ht="15.6" x14ac:dyDescent="0.3">
      <c r="B5" s="81"/>
    </row>
    <row r="6" spans="1:26" ht="18" x14ac:dyDescent="0.35">
      <c r="A6" s="129"/>
      <c r="B6" s="261"/>
      <c r="C6" s="130" t="s">
        <v>3</v>
      </c>
      <c r="D6" s="131" t="s">
        <v>3</v>
      </c>
      <c r="E6" s="132"/>
      <c r="F6" s="133"/>
      <c r="G6" s="133"/>
      <c r="H6" s="133"/>
      <c r="I6" s="133"/>
      <c r="J6" s="133"/>
      <c r="K6" s="133"/>
      <c r="L6" s="132"/>
      <c r="M6" s="134"/>
      <c r="N6" s="134"/>
      <c r="O6" s="133"/>
      <c r="P6" s="133"/>
      <c r="Q6" s="135"/>
    </row>
    <row r="7" spans="1:26" x14ac:dyDescent="0.3">
      <c r="A7" s="136"/>
      <c r="B7" s="1154" t="s">
        <v>4</v>
      </c>
      <c r="C7" s="1154"/>
      <c r="D7" s="1154"/>
      <c r="E7" s="1154"/>
      <c r="F7" s="1154"/>
      <c r="G7" s="1154"/>
      <c r="H7" s="1154"/>
      <c r="I7" s="1154"/>
      <c r="L7" s="107"/>
      <c r="M7" s="107"/>
      <c r="N7" s="107"/>
      <c r="Q7" s="139"/>
      <c r="S7" s="1154" t="s">
        <v>4</v>
      </c>
      <c r="T7" s="1154"/>
      <c r="U7" s="1154"/>
      <c r="V7" s="1154"/>
      <c r="W7" s="1154"/>
      <c r="X7" s="1154"/>
      <c r="Y7" s="138"/>
      <c r="Z7" s="138"/>
    </row>
    <row r="8" spans="1:26" x14ac:dyDescent="0.3">
      <c r="A8" s="136"/>
      <c r="C8" s="137" t="s">
        <v>5</v>
      </c>
      <c r="D8" s="57" t="s">
        <v>5</v>
      </c>
      <c r="E8" s="31"/>
      <c r="F8" s="137" t="s">
        <v>6</v>
      </c>
      <c r="G8" s="137" t="s">
        <v>7</v>
      </c>
      <c r="H8" s="138"/>
      <c r="I8" s="138"/>
      <c r="J8" s="137" t="s">
        <v>8</v>
      </c>
      <c r="L8" s="107"/>
      <c r="M8" s="107"/>
      <c r="N8" s="107"/>
      <c r="Q8" s="139"/>
      <c r="T8" s="282" t="s">
        <v>6</v>
      </c>
      <c r="U8" s="137" t="s">
        <v>7</v>
      </c>
      <c r="V8" s="137"/>
      <c r="W8" s="282" t="s">
        <v>9</v>
      </c>
      <c r="X8" s="137" t="s">
        <v>8</v>
      </c>
    </row>
    <row r="9" spans="1:26" x14ac:dyDescent="0.3">
      <c r="A9" s="136"/>
      <c r="B9" s="147" t="s">
        <v>10</v>
      </c>
      <c r="C9" s="108">
        <v>9</v>
      </c>
      <c r="D9" s="109">
        <v>12</v>
      </c>
      <c r="E9" s="26"/>
      <c r="F9" s="27"/>
      <c r="G9" s="109">
        <v>82073</v>
      </c>
      <c r="H9" s="67">
        <f>G9/G14</f>
        <v>0.24921127983700289</v>
      </c>
      <c r="I9" s="266">
        <f>H9*$F$14</f>
        <v>209935.58213469124</v>
      </c>
      <c r="J9" s="112">
        <f>F155</f>
        <v>39832</v>
      </c>
      <c r="K9" s="122">
        <f>J9/J14</f>
        <v>0.33765088837650886</v>
      </c>
      <c r="L9" s="123">
        <f>J9/(J9+J10)</f>
        <v>0.8029350104821803</v>
      </c>
      <c r="M9" s="106"/>
      <c r="N9" s="106"/>
      <c r="Q9" s="139"/>
      <c r="S9" s="268" t="s">
        <v>10</v>
      </c>
      <c r="T9" s="269"/>
      <c r="U9" s="270">
        <v>82073</v>
      </c>
      <c r="V9" s="122">
        <f>U9/U14</f>
        <v>0.24921127983700289</v>
      </c>
      <c r="W9" s="271">
        <f>V9*$F$14</f>
        <v>209935.58213469124</v>
      </c>
      <c r="X9" s="272">
        <f>$F$30*V9</f>
        <v>2332.617579274347</v>
      </c>
    </row>
    <row r="10" spans="1:26" x14ac:dyDescent="0.3">
      <c r="A10" s="136"/>
      <c r="B10" s="148" t="s">
        <v>11</v>
      </c>
      <c r="C10" s="110">
        <v>2</v>
      </c>
      <c r="D10" s="111">
        <v>3</v>
      </c>
      <c r="E10" s="69"/>
      <c r="F10" s="70"/>
      <c r="G10" s="111">
        <v>23054</v>
      </c>
      <c r="H10" s="68">
        <f>G10/G14</f>
        <v>7.0002520260771084E-2</v>
      </c>
      <c r="I10" s="267">
        <f>H10*$F$14</f>
        <v>58970.123067673558</v>
      </c>
      <c r="J10" s="265">
        <f>F134</f>
        <v>9776</v>
      </c>
      <c r="K10" s="68">
        <f>J10/J14</f>
        <v>8.2869930828699312E-2</v>
      </c>
      <c r="L10" s="124">
        <f>J10/(J9+J10)</f>
        <v>0.1970649895178197</v>
      </c>
      <c r="M10" s="106"/>
      <c r="N10" s="106"/>
      <c r="Q10" s="139"/>
      <c r="S10" s="149" t="s">
        <v>11</v>
      </c>
      <c r="T10" s="58"/>
      <c r="U10" s="112">
        <v>23054</v>
      </c>
      <c r="V10" s="51">
        <f>U10/U14</f>
        <v>7.0002520260771084E-2</v>
      </c>
      <c r="W10" s="150">
        <f>V10*$F$14</f>
        <v>58970.123067673558</v>
      </c>
      <c r="X10" s="241">
        <f>$F$30*V10</f>
        <v>655.22358964081729</v>
      </c>
    </row>
    <row r="11" spans="1:26" x14ac:dyDescent="0.3">
      <c r="A11" s="136"/>
      <c r="B11" s="149" t="s">
        <v>12</v>
      </c>
      <c r="C11" s="140">
        <v>11</v>
      </c>
      <c r="D11" s="112">
        <v>15</v>
      </c>
      <c r="E11" s="9"/>
      <c r="F11" s="58"/>
      <c r="G11" s="112">
        <v>153143</v>
      </c>
      <c r="H11" s="51">
        <f>G11/G14</f>
        <v>0.46501240393403598</v>
      </c>
      <c r="I11" s="239">
        <f>H11*$F$14</f>
        <v>391726.4490740319</v>
      </c>
      <c r="J11" s="265">
        <f>F112</f>
        <v>49192</v>
      </c>
      <c r="K11" s="67">
        <f>J11/J14</f>
        <v>0.41699443916994439</v>
      </c>
      <c r="L11" s="125">
        <f>J11/(J11+J12+J13)</f>
        <v>0.71960210649502632</v>
      </c>
      <c r="M11" s="106"/>
      <c r="N11" s="106"/>
      <c r="Q11" s="139"/>
      <c r="S11" s="268" t="s">
        <v>12</v>
      </c>
      <c r="T11" s="151"/>
      <c r="U11" s="270">
        <v>153143</v>
      </c>
      <c r="V11" s="122">
        <f>U11/U14</f>
        <v>0.46501240393403598</v>
      </c>
      <c r="W11" s="271">
        <f>V11*$F$14</f>
        <v>391726.4490740319</v>
      </c>
      <c r="X11" s="272">
        <f>$F$30*V11</f>
        <v>4352.5161008225768</v>
      </c>
    </row>
    <row r="12" spans="1:26" x14ac:dyDescent="0.3">
      <c r="A12" s="136"/>
      <c r="B12" s="149" t="s">
        <v>13</v>
      </c>
      <c r="C12" s="140">
        <v>2</v>
      </c>
      <c r="D12" s="112">
        <v>3</v>
      </c>
      <c r="E12" s="9"/>
      <c r="F12" s="58"/>
      <c r="G12" s="112">
        <v>37964</v>
      </c>
      <c r="H12" s="51">
        <f>G12/G14</f>
        <v>0.11527612037737109</v>
      </c>
      <c r="I12" s="239">
        <f>H12*$F$14</f>
        <v>97108.603805897408</v>
      </c>
      <c r="J12" s="265">
        <f>F70</f>
        <v>9600</v>
      </c>
      <c r="K12" s="51">
        <f>J12/J14</f>
        <v>8.1378000813780008E-2</v>
      </c>
      <c r="L12" s="126">
        <f>J12/(J11+J12+J13)</f>
        <v>0.14043300175541251</v>
      </c>
      <c r="M12" s="106"/>
      <c r="N12" s="106"/>
      <c r="Q12" s="139"/>
      <c r="S12" s="149" t="s">
        <v>13</v>
      </c>
      <c r="T12" s="58"/>
      <c r="U12" s="112">
        <v>37964</v>
      </c>
      <c r="V12" s="51">
        <f>U12/U14</f>
        <v>0.11527612037737109</v>
      </c>
      <c r="W12" s="150">
        <f>V12*$F$14</f>
        <v>97108.603805897408</v>
      </c>
      <c r="X12" s="241">
        <f>$F$30*V12</f>
        <v>1078.9844867321933</v>
      </c>
    </row>
    <row r="13" spans="1:26" x14ac:dyDescent="0.3">
      <c r="A13" s="136"/>
      <c r="B13" s="149" t="s">
        <v>14</v>
      </c>
      <c r="C13" s="140">
        <v>2</v>
      </c>
      <c r="D13" s="112">
        <v>3</v>
      </c>
      <c r="E13" s="9"/>
      <c r="F13" s="58"/>
      <c r="G13" s="112">
        <v>33097</v>
      </c>
      <c r="H13" s="51">
        <f>G13/G14</f>
        <v>0.10049767559081896</v>
      </c>
      <c r="I13" s="239">
        <f>H13*$F$14</f>
        <v>84659.241917705891</v>
      </c>
      <c r="J13" s="265">
        <f>F91</f>
        <v>9568</v>
      </c>
      <c r="K13" s="127">
        <f>J13/J14</f>
        <v>8.1106740811067404E-2</v>
      </c>
      <c r="L13" s="128">
        <f>J13/(J11+J12+J13)</f>
        <v>0.13996489174956114</v>
      </c>
      <c r="M13" s="106"/>
      <c r="N13" s="106"/>
      <c r="Q13" s="139"/>
      <c r="S13" s="273" t="s">
        <v>14</v>
      </c>
      <c r="T13" s="196"/>
      <c r="U13" s="274">
        <v>33097</v>
      </c>
      <c r="V13" s="127">
        <f>U13/U14</f>
        <v>0.10049767559081896</v>
      </c>
      <c r="W13" s="275">
        <f>V13*$F$14</f>
        <v>84659.241917705891</v>
      </c>
      <c r="X13" s="276">
        <f>$F$30*V13</f>
        <v>940.65824353006542</v>
      </c>
    </row>
    <row r="14" spans="1:26" x14ac:dyDescent="0.3">
      <c r="A14" s="136"/>
      <c r="B14" s="77"/>
      <c r="C14" s="52">
        <f>SUM(C9:C13)</f>
        <v>26</v>
      </c>
      <c r="D14" s="113">
        <f>SUM(D9:D13)</f>
        <v>36</v>
      </c>
      <c r="E14" s="24"/>
      <c r="F14" s="54">
        <f>12*260*3*90</f>
        <v>842400</v>
      </c>
      <c r="G14" s="113">
        <f>SUM(G9:G13)</f>
        <v>329331</v>
      </c>
      <c r="H14" s="53">
        <f>SUM(H9:H13)</f>
        <v>1</v>
      </c>
      <c r="I14" s="227">
        <f>SUM(I9:I13)</f>
        <v>842400</v>
      </c>
      <c r="J14" s="265">
        <f>SUM(J9:J13)</f>
        <v>117968</v>
      </c>
      <c r="K14" s="66">
        <f>SUM(K9:K13)</f>
        <v>1</v>
      </c>
      <c r="L14" s="106"/>
      <c r="M14" s="106"/>
      <c r="N14" s="106"/>
      <c r="Q14" s="139"/>
      <c r="S14" s="277"/>
      <c r="T14" s="278">
        <f>12*260*3*90</f>
        <v>842400</v>
      </c>
      <c r="U14" s="279">
        <f>SUM(U9:U13)</f>
        <v>329331</v>
      </c>
      <c r="V14" s="66">
        <f>SUM(V9:V13)</f>
        <v>1</v>
      </c>
      <c r="W14" s="280">
        <f>SUM(W9:W13)</f>
        <v>842400</v>
      </c>
      <c r="X14" s="281">
        <f>SUM(X9:X13)</f>
        <v>9360</v>
      </c>
    </row>
    <row r="15" spans="1:26" x14ac:dyDescent="0.3">
      <c r="A15" s="136"/>
      <c r="D15" s="30"/>
      <c r="E15" s="31"/>
      <c r="L15" s="107"/>
      <c r="M15" s="107"/>
      <c r="N15" s="107"/>
      <c r="Q15" s="139"/>
    </row>
    <row r="16" spans="1:26" x14ac:dyDescent="0.3">
      <c r="A16" s="136"/>
      <c r="B16" s="115" t="s">
        <v>15</v>
      </c>
      <c r="C16" s="141">
        <v>1</v>
      </c>
      <c r="D16" s="30"/>
      <c r="E16" s="31"/>
      <c r="L16" s="31"/>
      <c r="M16" s="107"/>
      <c r="N16" s="107"/>
      <c r="Q16" s="139"/>
    </row>
    <row r="17" spans="1:26" ht="15.75" customHeight="1" x14ac:dyDescent="0.3">
      <c r="A17" s="136"/>
      <c r="D17" s="30"/>
      <c r="E17" s="31"/>
      <c r="L17" s="31"/>
      <c r="M17" s="31"/>
      <c r="N17" s="31"/>
      <c r="Q17" s="139"/>
    </row>
    <row r="18" spans="1:26" ht="21" x14ac:dyDescent="0.4">
      <c r="A18" s="129"/>
      <c r="B18" s="1150" t="s">
        <v>16</v>
      </c>
      <c r="C18" s="1150"/>
      <c r="D18" s="1150"/>
      <c r="E18" s="1150"/>
      <c r="F18" s="1150"/>
      <c r="G18" s="1150"/>
      <c r="H18" s="1150"/>
      <c r="I18" s="1150"/>
      <c r="J18" s="1150"/>
      <c r="K18" s="1150"/>
      <c r="L18" s="1150"/>
      <c r="M18" s="1150"/>
      <c r="N18" s="1150"/>
      <c r="O18" s="1151"/>
      <c r="P18" s="162"/>
      <c r="Q18" s="135"/>
    </row>
    <row r="19" spans="1:26" x14ac:dyDescent="0.3">
      <c r="A19" s="136"/>
      <c r="B19" s="1152" t="s">
        <v>17</v>
      </c>
      <c r="C19" s="1152"/>
      <c r="D19" s="1152"/>
      <c r="E19" s="1152"/>
      <c r="F19" s="1152"/>
      <c r="G19" s="1152"/>
      <c r="H19" s="1152"/>
      <c r="I19" s="1152"/>
      <c r="J19" s="1152"/>
      <c r="K19" s="1152"/>
      <c r="L19" s="1152"/>
      <c r="M19" s="1152"/>
      <c r="N19" s="1152"/>
      <c r="O19" s="1153"/>
      <c r="P19" s="60"/>
      <c r="Q19" s="139"/>
    </row>
    <row r="20" spans="1:26" ht="18" x14ac:dyDescent="0.35">
      <c r="A20" s="136"/>
      <c r="B20" s="231" t="s">
        <v>18</v>
      </c>
      <c r="C20" s="151" t="s">
        <v>19</v>
      </c>
      <c r="D20" s="229" t="s">
        <v>20</v>
      </c>
      <c r="E20" s="230"/>
      <c r="F20" s="1147" t="s">
        <v>21</v>
      </c>
      <c r="G20" s="1148"/>
      <c r="H20" s="1148"/>
      <c r="I20" s="1147" t="s">
        <v>22</v>
      </c>
      <c r="J20" s="1148"/>
      <c r="K20" s="1148"/>
      <c r="L20" s="200" t="s">
        <v>23</v>
      </c>
      <c r="M20" s="198"/>
      <c r="N20" s="199"/>
      <c r="O20" s="21"/>
      <c r="P20" s="61" t="s">
        <v>24</v>
      </c>
      <c r="Q20" s="139"/>
    </row>
    <row r="21" spans="1:26" ht="15.6" x14ac:dyDescent="0.3">
      <c r="A21" s="136"/>
      <c r="B21" s="232" t="s">
        <v>25</v>
      </c>
      <c r="C21" s="163" t="s">
        <v>26</v>
      </c>
      <c r="D21" s="4" t="s">
        <v>26</v>
      </c>
      <c r="E21" s="5"/>
      <c r="F21" s="152"/>
      <c r="G21" s="151" t="s">
        <v>27</v>
      </c>
      <c r="H21" s="151" t="s">
        <v>27</v>
      </c>
      <c r="I21" s="152"/>
      <c r="J21" s="151"/>
      <c r="K21" s="151"/>
      <c r="L21" s="201" t="s">
        <v>28</v>
      </c>
      <c r="M21" s="17"/>
      <c r="N21" s="155"/>
      <c r="O21" s="21"/>
      <c r="P21" s="61" t="s">
        <v>29</v>
      </c>
      <c r="Q21" s="139"/>
    </row>
    <row r="22" spans="1:26" x14ac:dyDescent="0.3">
      <c r="A22" s="136"/>
      <c r="B22" s="149" t="s">
        <v>30</v>
      </c>
      <c r="C22" s="58" t="s">
        <v>31</v>
      </c>
      <c r="D22" s="8"/>
      <c r="E22" s="9"/>
      <c r="F22" s="191" t="s">
        <v>29</v>
      </c>
      <c r="G22" s="192" t="s">
        <v>32</v>
      </c>
      <c r="H22" s="197" t="s">
        <v>33</v>
      </c>
      <c r="I22" s="191" t="s">
        <v>34</v>
      </c>
      <c r="J22" s="196" t="s">
        <v>35</v>
      </c>
      <c r="K22" s="196" t="s">
        <v>36</v>
      </c>
      <c r="L22" s="260" t="s">
        <v>29</v>
      </c>
      <c r="M22" s="43" t="s">
        <v>32</v>
      </c>
      <c r="N22" s="156" t="s">
        <v>33</v>
      </c>
      <c r="O22" s="22" t="s">
        <v>37</v>
      </c>
      <c r="P22" s="60"/>
      <c r="Q22" s="139"/>
    </row>
    <row r="23" spans="1:26" x14ac:dyDescent="0.3">
      <c r="A23" s="136"/>
      <c r="B23" s="233" t="s">
        <v>38</v>
      </c>
      <c r="C23" s="114">
        <v>8</v>
      </c>
      <c r="D23" s="15">
        <f>D14</f>
        <v>36</v>
      </c>
      <c r="E23" s="6"/>
      <c r="F23" s="186">
        <f>(C23*D23*260)</f>
        <v>74880</v>
      </c>
      <c r="G23" s="175">
        <f>F23*1.1</f>
        <v>82368</v>
      </c>
      <c r="H23" s="187">
        <f>F23*1.2</f>
        <v>89856</v>
      </c>
      <c r="I23" s="176">
        <f>F23*5</f>
        <v>374400</v>
      </c>
      <c r="J23" s="175">
        <f>F23*5.5</f>
        <v>411840</v>
      </c>
      <c r="K23" s="175">
        <f>F23*6</f>
        <v>449280</v>
      </c>
      <c r="L23" s="202">
        <f>F23*65</f>
        <v>4867200</v>
      </c>
      <c r="M23" s="18">
        <f>G23*65</f>
        <v>5353920</v>
      </c>
      <c r="N23" s="157">
        <f>H23*65</f>
        <v>5840640</v>
      </c>
      <c r="O23" s="21"/>
      <c r="P23" s="60"/>
      <c r="Q23" s="139"/>
      <c r="R23" s="119">
        <f>L63+L84+L105+L127+L148</f>
        <v>4867200</v>
      </c>
    </row>
    <row r="24" spans="1:26" x14ac:dyDescent="0.3">
      <c r="A24" s="136"/>
      <c r="B24" s="149" t="s">
        <v>39</v>
      </c>
      <c r="C24" s="58" t="s">
        <v>31</v>
      </c>
      <c r="D24" s="15"/>
      <c r="E24" s="6"/>
      <c r="F24" s="186"/>
      <c r="G24" s="175"/>
      <c r="H24" s="187"/>
      <c r="I24" s="176"/>
      <c r="J24" s="175"/>
      <c r="K24" s="175"/>
      <c r="L24" s="202"/>
      <c r="M24" s="18"/>
      <c r="N24" s="157"/>
      <c r="O24" s="21"/>
      <c r="P24" s="60"/>
      <c r="Q24" s="139"/>
    </row>
    <row r="25" spans="1:26" x14ac:dyDescent="0.3">
      <c r="A25" s="136"/>
      <c r="B25" s="233" t="s">
        <v>40</v>
      </c>
      <c r="C25" s="114">
        <v>6</v>
      </c>
      <c r="D25" s="15">
        <f>C14</f>
        <v>26</v>
      </c>
      <c r="E25" s="6"/>
      <c r="F25" s="186">
        <f>(C25*D25*260)</f>
        <v>40560</v>
      </c>
      <c r="G25" s="175">
        <f>F25*1.1</f>
        <v>44616</v>
      </c>
      <c r="H25" s="187">
        <f>F25*1.2</f>
        <v>48672</v>
      </c>
      <c r="I25" s="176">
        <f>F25*3</f>
        <v>121680</v>
      </c>
      <c r="J25" s="175">
        <f>F25*4</f>
        <v>162240</v>
      </c>
      <c r="K25" s="175">
        <f>F25*5</f>
        <v>202800</v>
      </c>
      <c r="L25" s="202">
        <f>F25*65</f>
        <v>2636400</v>
      </c>
      <c r="M25" s="18">
        <f>G25*65</f>
        <v>2900040</v>
      </c>
      <c r="N25" s="157">
        <f>H25*65</f>
        <v>3163680</v>
      </c>
      <c r="O25" s="21"/>
      <c r="P25" s="60"/>
      <c r="Q25" s="139"/>
      <c r="R25" s="119">
        <f>L65+L86+L107+L129+L150</f>
        <v>2636400</v>
      </c>
    </row>
    <row r="26" spans="1:26" x14ac:dyDescent="0.3">
      <c r="A26" s="136"/>
      <c r="B26" s="149" t="s">
        <v>41</v>
      </c>
      <c r="C26" s="114" t="s">
        <v>42</v>
      </c>
      <c r="D26" s="15"/>
      <c r="E26" s="6"/>
      <c r="F26" s="186"/>
      <c r="G26" s="175"/>
      <c r="H26" s="187"/>
      <c r="I26" s="176"/>
      <c r="J26" s="175"/>
      <c r="K26" s="175"/>
      <c r="L26" s="202"/>
      <c r="M26" s="18"/>
      <c r="N26" s="157"/>
      <c r="O26" s="21"/>
      <c r="P26" s="60"/>
      <c r="Q26" s="139"/>
    </row>
    <row r="27" spans="1:26" x14ac:dyDescent="0.3">
      <c r="A27" s="136"/>
      <c r="B27" s="149" t="s">
        <v>43</v>
      </c>
      <c r="C27" s="114"/>
      <c r="D27" s="15"/>
      <c r="E27" s="6"/>
      <c r="F27" s="186"/>
      <c r="G27" s="175"/>
      <c r="H27" s="187"/>
      <c r="I27" s="176"/>
      <c r="J27" s="175"/>
      <c r="K27" s="175"/>
      <c r="L27" s="202">
        <f>L67+L88+L109+L131+L151</f>
        <v>670453</v>
      </c>
      <c r="M27" s="18"/>
      <c r="N27" s="157"/>
      <c r="O27" s="21"/>
      <c r="P27" s="60"/>
      <c r="Q27" s="139"/>
      <c r="R27" s="119">
        <f>L67+L88+L109+L131+L151</f>
        <v>670453</v>
      </c>
    </row>
    <row r="28" spans="1:26" x14ac:dyDescent="0.3">
      <c r="A28" s="136"/>
      <c r="B28" s="233" t="s">
        <v>44</v>
      </c>
      <c r="C28" s="114">
        <v>8</v>
      </c>
      <c r="D28" s="15">
        <v>6</v>
      </c>
      <c r="E28" s="6"/>
      <c r="F28" s="186">
        <f>F68+F89+F110+F132+F153</f>
        <v>2528</v>
      </c>
      <c r="G28" s="189">
        <f>F28*1.1</f>
        <v>2780.8</v>
      </c>
      <c r="H28" s="190">
        <f>F28*1.2</f>
        <v>3033.6</v>
      </c>
      <c r="I28" s="176">
        <f>F28*1.5</f>
        <v>3792</v>
      </c>
      <c r="J28" s="176">
        <f>G28*1.5</f>
        <v>4171.2000000000007</v>
      </c>
      <c r="K28" s="176">
        <f>H28*1.5</f>
        <v>4550.3999999999996</v>
      </c>
      <c r="L28" s="203">
        <f>F28*65</f>
        <v>164320</v>
      </c>
      <c r="M28" s="158">
        <f>G28*65</f>
        <v>180752</v>
      </c>
      <c r="N28" s="159">
        <f>H28*65</f>
        <v>197184</v>
      </c>
      <c r="O28" s="21"/>
      <c r="P28" s="60"/>
      <c r="Q28" s="139"/>
      <c r="R28" s="119">
        <f>L68+L89+L110+L132+L153</f>
        <v>164320</v>
      </c>
    </row>
    <row r="29" spans="1:26" x14ac:dyDescent="0.3">
      <c r="A29" s="136"/>
      <c r="B29" s="234" t="s">
        <v>45</v>
      </c>
      <c r="C29" s="12"/>
      <c r="D29" s="13"/>
      <c r="E29" s="13"/>
      <c r="F29" s="194">
        <f t="shared" ref="F29:N29" si="0">SUM(F23:F28)</f>
        <v>117968</v>
      </c>
      <c r="G29" s="184">
        <f t="shared" si="0"/>
        <v>129764.8</v>
      </c>
      <c r="H29" s="195">
        <f t="shared" si="0"/>
        <v>141561.60000000001</v>
      </c>
      <c r="I29" s="177">
        <f t="shared" si="0"/>
        <v>499872</v>
      </c>
      <c r="J29" s="177">
        <f>SUM(J23:J28)</f>
        <v>578251.19999999995</v>
      </c>
      <c r="K29" s="177">
        <f t="shared" si="0"/>
        <v>656630.4</v>
      </c>
      <c r="L29" s="178">
        <f>SUM(L23:L28)</f>
        <v>8338373</v>
      </c>
      <c r="M29" s="160">
        <f t="shared" si="0"/>
        <v>8434712</v>
      </c>
      <c r="N29" s="161">
        <f t="shared" si="0"/>
        <v>9201504</v>
      </c>
      <c r="O29" s="23"/>
      <c r="P29" s="60"/>
      <c r="Q29" s="139"/>
    </row>
    <row r="30" spans="1:26" x14ac:dyDescent="0.3">
      <c r="A30" s="136"/>
      <c r="B30" s="149" t="s">
        <v>46</v>
      </c>
      <c r="C30" s="114">
        <v>12</v>
      </c>
      <c r="D30" s="15">
        <v>3</v>
      </c>
      <c r="E30" s="15"/>
      <c r="F30" s="176">
        <f>(C30*D30*260)</f>
        <v>9360</v>
      </c>
      <c r="G30" s="175">
        <f>F30*1.1</f>
        <v>10296</v>
      </c>
      <c r="H30" s="175">
        <f>F30*1.2</f>
        <v>11232</v>
      </c>
      <c r="I30" s="176">
        <f>10*5*2*290</f>
        <v>29000</v>
      </c>
      <c r="J30" s="176">
        <f>10*7*2*290</f>
        <v>40600</v>
      </c>
      <c r="K30" s="176">
        <f>10*8*2*290</f>
        <v>46400</v>
      </c>
      <c r="L30" s="179">
        <f>F30*90</f>
        <v>842400</v>
      </c>
      <c r="M30" s="20">
        <f>12*259*86*6</f>
        <v>1603728</v>
      </c>
      <c r="N30" s="16">
        <f>12*259*86*6</f>
        <v>1603728</v>
      </c>
      <c r="O30" s="23"/>
      <c r="P30" s="60"/>
      <c r="Q30" s="139"/>
    </row>
    <row r="31" spans="1:26" x14ac:dyDescent="0.3">
      <c r="A31" s="136"/>
      <c r="B31" s="149" t="s">
        <v>47</v>
      </c>
      <c r="C31" s="114"/>
      <c r="D31" s="15">
        <v>20</v>
      </c>
      <c r="E31" s="15"/>
      <c r="F31" s="176">
        <v>32958.050000000003</v>
      </c>
      <c r="G31" s="175"/>
      <c r="H31" s="175"/>
      <c r="I31" s="176"/>
      <c r="J31" s="175">
        <v>70000</v>
      </c>
      <c r="K31" s="175"/>
      <c r="L31" s="180">
        <v>2641604</v>
      </c>
      <c r="M31" s="20">
        <v>2592992</v>
      </c>
      <c r="N31" s="16">
        <v>2592992</v>
      </c>
      <c r="O31" s="23"/>
      <c r="P31" s="60"/>
      <c r="Q31" s="139"/>
      <c r="S31" s="283"/>
      <c r="T31" s="58"/>
      <c r="U31" s="10"/>
      <c r="V31" s="58"/>
      <c r="W31" s="58"/>
      <c r="X31" s="116"/>
      <c r="Y31" s="116"/>
      <c r="Z31" s="58"/>
    </row>
    <row r="32" spans="1:26" ht="15" customHeight="1" x14ac:dyDescent="0.3">
      <c r="A32" s="136"/>
      <c r="B32" s="149" t="s">
        <v>48</v>
      </c>
      <c r="C32" s="114"/>
      <c r="D32" s="15"/>
      <c r="E32" s="15"/>
      <c r="F32" s="176">
        <v>56548</v>
      </c>
      <c r="G32" s="175"/>
      <c r="H32" s="175"/>
      <c r="I32" s="176"/>
      <c r="J32" s="175">
        <v>169644</v>
      </c>
      <c r="K32" s="175"/>
      <c r="L32" s="180">
        <f>4241400-(F32*10)</f>
        <v>3675920</v>
      </c>
      <c r="M32" s="20"/>
      <c r="N32" s="16"/>
      <c r="O32" s="23"/>
      <c r="P32" s="60"/>
      <c r="Q32" s="139"/>
      <c r="S32" s="1160" t="s">
        <v>49</v>
      </c>
      <c r="T32" s="1155" t="s">
        <v>50</v>
      </c>
      <c r="U32" s="1158" t="s">
        <v>51</v>
      </c>
      <c r="V32" s="1158" t="s">
        <v>52</v>
      </c>
      <c r="W32" s="1155" t="s">
        <v>53</v>
      </c>
      <c r="X32" s="1155" t="s">
        <v>54</v>
      </c>
    </row>
    <row r="33" spans="1:26" x14ac:dyDescent="0.3">
      <c r="A33" s="136"/>
      <c r="B33" s="235" t="s">
        <v>55</v>
      </c>
      <c r="C33" s="46"/>
      <c r="D33" s="47"/>
      <c r="E33" s="47"/>
      <c r="F33" s="48">
        <f t="shared" ref="F33:L33" si="1">F29+F30+F31+F32</f>
        <v>216834.05</v>
      </c>
      <c r="G33" s="48">
        <f t="shared" si="1"/>
        <v>140060.79999999999</v>
      </c>
      <c r="H33" s="48">
        <f t="shared" si="1"/>
        <v>152793.60000000001</v>
      </c>
      <c r="I33" s="48">
        <f t="shared" si="1"/>
        <v>528872</v>
      </c>
      <c r="J33" s="48">
        <f t="shared" si="1"/>
        <v>858495.2</v>
      </c>
      <c r="K33" s="48">
        <f t="shared" si="1"/>
        <v>703030.4</v>
      </c>
      <c r="L33" s="228">
        <f t="shared" si="1"/>
        <v>15498297</v>
      </c>
      <c r="M33" s="55">
        <f>SUM(M29:M31)</f>
        <v>12631432</v>
      </c>
      <c r="N33" s="49">
        <f>SUM(N29:N31)</f>
        <v>13398224</v>
      </c>
      <c r="O33" s="50">
        <f>N33-L33</f>
        <v>-2100073</v>
      </c>
      <c r="P33" s="62">
        <f>5149835+2883500+3001770</f>
        <v>11035105</v>
      </c>
      <c r="Q33" s="139"/>
      <c r="S33" s="1160"/>
      <c r="T33" s="1155"/>
      <c r="U33" s="1158"/>
      <c r="V33" s="1158"/>
      <c r="W33" s="1155"/>
      <c r="X33" s="1155"/>
    </row>
    <row r="34" spans="1:26" ht="18" x14ac:dyDescent="0.35">
      <c r="A34" s="136"/>
      <c r="B34" s="236" t="s">
        <v>56</v>
      </c>
      <c r="C34" s="114"/>
      <c r="D34" s="15"/>
      <c r="E34" s="15"/>
      <c r="F34" s="259"/>
      <c r="G34" s="16"/>
      <c r="H34" s="16"/>
      <c r="I34" s="16"/>
      <c r="J34" s="16"/>
      <c r="K34" s="16"/>
      <c r="L34" s="56"/>
      <c r="M34" s="44"/>
      <c r="N34" s="59"/>
      <c r="O34" s="42"/>
      <c r="P34" s="60"/>
      <c r="Q34" s="139"/>
      <c r="S34" s="1161"/>
      <c r="T34" s="1156"/>
      <c r="U34" s="1159"/>
      <c r="V34" s="1159"/>
      <c r="W34" s="1156"/>
      <c r="X34" s="1156"/>
    </row>
    <row r="35" spans="1:26" x14ac:dyDescent="0.3">
      <c r="A35" s="136"/>
      <c r="B35" s="233" t="s">
        <v>57</v>
      </c>
      <c r="C35" s="114"/>
      <c r="D35" s="15"/>
      <c r="E35" s="15"/>
      <c r="F35" s="154"/>
      <c r="G35" s="16"/>
      <c r="H35" s="16"/>
      <c r="I35" s="16"/>
      <c r="J35" s="16"/>
      <c r="K35" s="16"/>
      <c r="L35" s="182">
        <f>(L48+L51+L54)*-1</f>
        <v>-6164398</v>
      </c>
      <c r="M35" s="44">
        <f>-(2970479+1673250+1253517)</f>
        <v>-5897246</v>
      </c>
      <c r="N35" s="59">
        <f>-(2970479+1673250+1253517)</f>
        <v>-5897246</v>
      </c>
      <c r="O35" s="42"/>
      <c r="P35" s="62">
        <f>-(2970479+1673250+1253517)</f>
        <v>-5897246</v>
      </c>
      <c r="Q35" s="139"/>
      <c r="S35" s="284" t="s">
        <v>58</v>
      </c>
      <c r="T35" s="285">
        <v>60476.325199999992</v>
      </c>
      <c r="U35" s="286">
        <v>9383</v>
      </c>
      <c r="V35" s="286">
        <v>134383</v>
      </c>
      <c r="W35" s="287">
        <v>100793</v>
      </c>
      <c r="X35" s="287">
        <v>125000</v>
      </c>
      <c r="Z35" s="296">
        <f>ROUND(W35,0)</f>
        <v>100793</v>
      </c>
    </row>
    <row r="36" spans="1:26" x14ac:dyDescent="0.3">
      <c r="A36" s="136"/>
      <c r="B36" s="233" t="s">
        <v>59</v>
      </c>
      <c r="C36" s="114"/>
      <c r="D36" s="15"/>
      <c r="E36" s="15"/>
      <c r="F36" s="154"/>
      <c r="G36" s="16"/>
      <c r="H36" s="16"/>
      <c r="I36" s="16"/>
      <c r="J36" s="16"/>
      <c r="K36" s="16"/>
      <c r="L36" s="181">
        <v>-500000</v>
      </c>
      <c r="M36" s="44"/>
      <c r="N36" s="59"/>
      <c r="O36" s="42"/>
      <c r="P36" s="62"/>
      <c r="Q36" s="139"/>
      <c r="S36" s="284" t="s">
        <v>60</v>
      </c>
      <c r="T36" s="285">
        <v>197197.3426</v>
      </c>
      <c r="U36" s="286">
        <v>30595</v>
      </c>
      <c r="V36" s="286">
        <v>104111</v>
      </c>
      <c r="W36" s="287">
        <v>301309</v>
      </c>
      <c r="X36" s="287">
        <v>50000</v>
      </c>
      <c r="Z36" s="296">
        <f t="shared" ref="Z36:Z43" si="2">ROUND(W36,0)</f>
        <v>301309</v>
      </c>
    </row>
    <row r="37" spans="1:26" x14ac:dyDescent="0.3">
      <c r="A37" s="136"/>
      <c r="B37" s="233" t="s">
        <v>61</v>
      </c>
      <c r="C37" s="114"/>
      <c r="D37" s="15"/>
      <c r="E37" s="15"/>
      <c r="F37" s="16"/>
      <c r="G37" s="16"/>
      <c r="H37" s="16"/>
      <c r="I37" s="16"/>
      <c r="J37" s="16"/>
      <c r="K37" s="16"/>
      <c r="L37" s="181">
        <f>(L49+L52+L55)*-1</f>
        <v>-1525568</v>
      </c>
      <c r="M37" s="44">
        <f>-(415133+519759+601585)</f>
        <v>-1536477</v>
      </c>
      <c r="N37" s="59">
        <f>-(415133+519759+601585)</f>
        <v>-1536477</v>
      </c>
      <c r="O37" s="21"/>
      <c r="P37" s="62">
        <f>-(415133+519759+601585)</f>
        <v>-1536477</v>
      </c>
      <c r="Q37" s="139"/>
      <c r="S37" s="288" t="s">
        <v>62</v>
      </c>
      <c r="T37" s="289">
        <v>174565.09820000001</v>
      </c>
      <c r="U37" s="295">
        <v>0</v>
      </c>
      <c r="V37" s="295">
        <v>0</v>
      </c>
      <c r="W37" s="290">
        <v>174565</v>
      </c>
      <c r="X37" s="290">
        <v>0</v>
      </c>
      <c r="Z37" s="296">
        <f t="shared" si="2"/>
        <v>174565</v>
      </c>
    </row>
    <row r="38" spans="1:26" x14ac:dyDescent="0.3">
      <c r="A38" s="136"/>
      <c r="B38" s="233" t="s">
        <v>63</v>
      </c>
      <c r="C38" s="114"/>
      <c r="D38" s="15"/>
      <c r="E38" s="15"/>
      <c r="F38" s="16"/>
      <c r="G38" s="16"/>
      <c r="H38" s="16"/>
      <c r="I38" s="16"/>
      <c r="J38" s="16"/>
      <c r="K38" s="16"/>
      <c r="L38" s="180">
        <v>-1113000</v>
      </c>
      <c r="M38" s="20">
        <v>-1400000</v>
      </c>
      <c r="N38" s="16">
        <v>-1400000</v>
      </c>
      <c r="O38" s="21"/>
      <c r="P38" s="62">
        <f>-917223-634691-404368</f>
        <v>-1956282</v>
      </c>
      <c r="Q38" s="139"/>
      <c r="S38" s="284" t="s">
        <v>64</v>
      </c>
      <c r="T38" s="285">
        <v>179759.38380000001</v>
      </c>
      <c r="U38" s="286">
        <v>27890</v>
      </c>
      <c r="V38" s="286">
        <v>119839</v>
      </c>
      <c r="W38" s="287">
        <v>299598</v>
      </c>
      <c r="X38" s="287">
        <v>68433</v>
      </c>
      <c r="Z38" s="296">
        <f t="shared" si="2"/>
        <v>299598</v>
      </c>
    </row>
    <row r="39" spans="1:26" x14ac:dyDescent="0.3">
      <c r="A39" s="136"/>
      <c r="B39" s="233" t="s">
        <v>65</v>
      </c>
      <c r="C39" s="114"/>
      <c r="D39" s="15"/>
      <c r="E39" s="15"/>
      <c r="F39" s="16"/>
      <c r="G39" s="16"/>
      <c r="H39" s="16"/>
      <c r="I39" s="16"/>
      <c r="J39" s="16"/>
      <c r="K39" s="16"/>
      <c r="L39" s="180">
        <f>((J29+J30+J31)*C16)*-1</f>
        <v>-688851.2</v>
      </c>
      <c r="M39" s="20"/>
      <c r="N39" s="16"/>
      <c r="O39" s="21"/>
      <c r="P39" s="62"/>
      <c r="Q39" s="139"/>
      <c r="S39" s="284" t="s">
        <v>66</v>
      </c>
      <c r="T39" s="285">
        <v>303680.1974</v>
      </c>
      <c r="U39" s="286">
        <v>47116</v>
      </c>
      <c r="V39" s="286">
        <v>202451</v>
      </c>
      <c r="W39" s="287">
        <v>506131</v>
      </c>
      <c r="X39" s="287">
        <v>155335</v>
      </c>
      <c r="Z39" s="296">
        <f t="shared" si="2"/>
        <v>506131</v>
      </c>
    </row>
    <row r="40" spans="1:26" x14ac:dyDescent="0.3">
      <c r="A40" s="136"/>
      <c r="B40" s="233" t="s">
        <v>67</v>
      </c>
      <c r="C40" s="114"/>
      <c r="D40" s="15"/>
      <c r="E40" s="15"/>
      <c r="F40" s="16"/>
      <c r="G40" s="16"/>
      <c r="H40" s="16"/>
      <c r="I40" s="16"/>
      <c r="J40" s="16"/>
      <c r="K40" s="16"/>
      <c r="L40" s="180">
        <f>L117*-1</f>
        <v>-650000</v>
      </c>
      <c r="M40" s="20"/>
      <c r="N40" s="16"/>
      <c r="O40" s="21"/>
      <c r="P40" s="62"/>
      <c r="Q40" s="139"/>
      <c r="S40" s="284" t="s">
        <v>68</v>
      </c>
      <c r="T40" s="285">
        <v>88117.345000000001</v>
      </c>
      <c r="U40" s="286">
        <v>13671</v>
      </c>
      <c r="V40" s="286">
        <v>58744</v>
      </c>
      <c r="W40" s="287">
        <v>146862</v>
      </c>
      <c r="X40" s="287">
        <v>45073</v>
      </c>
      <c r="Z40" s="296">
        <f t="shared" si="2"/>
        <v>146862</v>
      </c>
    </row>
    <row r="41" spans="1:26" x14ac:dyDescent="0.3">
      <c r="A41" s="136"/>
      <c r="B41" s="233" t="s">
        <v>69</v>
      </c>
      <c r="C41" s="114"/>
      <c r="D41" s="15"/>
      <c r="E41" s="15"/>
      <c r="F41" s="16"/>
      <c r="G41" s="16"/>
      <c r="H41" s="16"/>
      <c r="I41" s="16"/>
      <c r="J41" s="16"/>
      <c r="K41" s="16"/>
      <c r="L41" s="180">
        <f>L162*-1</f>
        <v>-308936.655996799</v>
      </c>
      <c r="M41" s="20"/>
      <c r="N41" s="16"/>
      <c r="O41" s="21"/>
      <c r="P41" s="62"/>
      <c r="Q41" s="139"/>
      <c r="S41" s="284" t="s">
        <v>70</v>
      </c>
      <c r="T41" s="285">
        <v>601053.04800000007</v>
      </c>
      <c r="U41" s="286">
        <v>93254</v>
      </c>
      <c r="V41" s="286">
        <v>215287</v>
      </c>
      <c r="W41" s="287">
        <v>816341</v>
      </c>
      <c r="X41" s="287">
        <v>75000</v>
      </c>
      <c r="Z41" s="296">
        <f t="shared" si="2"/>
        <v>816341</v>
      </c>
    </row>
    <row r="42" spans="1:26" x14ac:dyDescent="0.3">
      <c r="A42" s="136"/>
      <c r="B42" s="233" t="s">
        <v>71</v>
      </c>
      <c r="C42" s="114"/>
      <c r="D42" s="15"/>
      <c r="E42" s="15"/>
      <c r="F42" s="16"/>
      <c r="G42" s="16"/>
      <c r="H42" s="16"/>
      <c r="I42" s="16"/>
      <c r="J42" s="16"/>
      <c r="K42" s="16"/>
      <c r="L42" s="180">
        <f>L141*-1</f>
        <v>-55372.767827564385</v>
      </c>
      <c r="M42" s="20"/>
      <c r="N42" s="16"/>
      <c r="O42" s="21"/>
      <c r="P42" s="62"/>
      <c r="Q42" s="139"/>
      <c r="S42" s="288" t="s">
        <v>72</v>
      </c>
      <c r="T42" s="289">
        <v>116500.40559999998</v>
      </c>
      <c r="U42" s="295">
        <v>0</v>
      </c>
      <c r="V42" s="295">
        <v>0</v>
      </c>
      <c r="W42" s="290">
        <v>116500</v>
      </c>
      <c r="X42" s="290">
        <v>0</v>
      </c>
      <c r="Z42" s="296">
        <f t="shared" si="2"/>
        <v>116500</v>
      </c>
    </row>
    <row r="43" spans="1:26" x14ac:dyDescent="0.3">
      <c r="A43" s="136"/>
      <c r="B43" s="233" t="s">
        <v>73</v>
      </c>
      <c r="C43" s="114"/>
      <c r="D43" s="15"/>
      <c r="E43" s="15"/>
      <c r="F43" s="16"/>
      <c r="G43" s="16"/>
      <c r="H43" s="16"/>
      <c r="I43" s="16"/>
      <c r="J43" s="16"/>
      <c r="K43" s="16"/>
      <c r="L43" s="180">
        <f>L77*-1</f>
        <v>-94462.808491613134</v>
      </c>
      <c r="M43" s="20"/>
      <c r="N43" s="16"/>
      <c r="O43" s="21"/>
      <c r="P43" s="62"/>
      <c r="Q43" s="139"/>
      <c r="S43" s="284" t="s">
        <v>74</v>
      </c>
      <c r="T43" s="292">
        <v>133752.8542</v>
      </c>
      <c r="U43" s="293">
        <v>20752</v>
      </c>
      <c r="V43" s="286">
        <v>45752</v>
      </c>
      <c r="W43" s="294">
        <v>179505</v>
      </c>
      <c r="X43" s="294">
        <v>25000</v>
      </c>
      <c r="Z43" s="296">
        <f t="shared" si="2"/>
        <v>179505</v>
      </c>
    </row>
    <row r="44" spans="1:26" x14ac:dyDescent="0.3">
      <c r="A44" s="136"/>
      <c r="B44" s="233" t="s">
        <v>75</v>
      </c>
      <c r="C44" s="114"/>
      <c r="D44" s="15"/>
      <c r="E44" s="15"/>
      <c r="F44" s="16"/>
      <c r="G44" s="16"/>
      <c r="H44" s="16"/>
      <c r="I44" s="16"/>
      <c r="J44" s="16"/>
      <c r="K44" s="16"/>
      <c r="L44" s="180">
        <f>L98*-1</f>
        <v>-64999.850077845505</v>
      </c>
      <c r="M44" s="20"/>
      <c r="N44" s="16"/>
      <c r="O44" s="21"/>
      <c r="P44" s="62"/>
      <c r="Q44" s="139"/>
      <c r="S44" s="116"/>
      <c r="T44" s="285">
        <f>SUM(T35:T43)</f>
        <v>1855101.9999999998</v>
      </c>
      <c r="U44" s="286">
        <f>SUM(U35:U43)</f>
        <v>242661</v>
      </c>
      <c r="V44" s="286">
        <f>SUM(V35:V43)</f>
        <v>880567</v>
      </c>
      <c r="W44" s="291">
        <f>SUM(W35:W43)</f>
        <v>2641604</v>
      </c>
      <c r="X44" s="291">
        <f>SUM(X35:X43)</f>
        <v>543841</v>
      </c>
      <c r="Z44" s="119">
        <f>SUM(Z35:Z43)</f>
        <v>2641604</v>
      </c>
    </row>
    <row r="45" spans="1:26" x14ac:dyDescent="0.3">
      <c r="A45" s="136"/>
      <c r="B45" s="233" t="s">
        <v>76</v>
      </c>
      <c r="C45" s="114"/>
      <c r="D45" s="15"/>
      <c r="E45" s="15"/>
      <c r="F45" s="16"/>
      <c r="G45" s="16"/>
      <c r="H45" s="16"/>
      <c r="I45" s="16"/>
      <c r="J45" s="16"/>
      <c r="K45" s="16"/>
      <c r="L45" s="180">
        <f>(242661+543841)*-1</f>
        <v>-786502</v>
      </c>
      <c r="M45" s="20"/>
      <c r="N45" s="16"/>
      <c r="O45" s="21"/>
      <c r="P45" s="62"/>
      <c r="Q45" s="139"/>
      <c r="R45" s="120"/>
    </row>
    <row r="46" spans="1:26" x14ac:dyDescent="0.3">
      <c r="A46" s="136"/>
      <c r="B46" s="149" t="s">
        <v>77</v>
      </c>
      <c r="C46" s="114"/>
      <c r="D46" s="15"/>
      <c r="E46" s="15"/>
      <c r="F46" s="154"/>
      <c r="G46" s="7"/>
      <c r="H46" s="7"/>
      <c r="I46" s="154"/>
      <c r="J46" s="7"/>
      <c r="K46" s="7"/>
      <c r="L46" s="180">
        <f>4241400*-1</f>
        <v>-4241400</v>
      </c>
      <c r="M46" s="20"/>
      <c r="N46" s="16"/>
      <c r="O46" s="23"/>
      <c r="P46" s="60"/>
      <c r="Q46" s="139"/>
      <c r="S46" s="1149" t="s">
        <v>78</v>
      </c>
      <c r="T46" s="1149"/>
    </row>
    <row r="47" spans="1:26" x14ac:dyDescent="0.3">
      <c r="A47" s="136"/>
      <c r="B47" s="234" t="s">
        <v>79</v>
      </c>
      <c r="C47" s="12"/>
      <c r="D47" s="13"/>
      <c r="E47" s="13"/>
      <c r="F47" s="14"/>
      <c r="G47" s="14"/>
      <c r="H47" s="14"/>
      <c r="I47" s="14"/>
      <c r="J47" s="14"/>
      <c r="K47" s="14"/>
      <c r="L47" s="183">
        <f>SUM(L34:L46)</f>
        <v>-16193491.282393822</v>
      </c>
      <c r="M47" s="19">
        <f>SUM(M35:M38)</f>
        <v>-8833723</v>
      </c>
      <c r="N47" s="14">
        <f>SUM(N35:N38)</f>
        <v>-8833723</v>
      </c>
      <c r="O47" s="21"/>
      <c r="P47" s="62">
        <f>SUM(P35:P38)</f>
        <v>-9390005</v>
      </c>
      <c r="Q47" s="139"/>
      <c r="S47" t="s">
        <v>57</v>
      </c>
      <c r="T47" s="298">
        <f>-L35-L36</f>
        <v>6664398</v>
      </c>
      <c r="U47" s="300">
        <f>ROUND(T47/$T$55,2)</f>
        <v>0.41</v>
      </c>
    </row>
    <row r="48" spans="1:26" x14ac:dyDescent="0.3">
      <c r="A48" s="136"/>
      <c r="B48" s="149" t="s">
        <v>80</v>
      </c>
      <c r="C48" s="114"/>
      <c r="D48" s="15"/>
      <c r="E48" s="15"/>
      <c r="F48" s="16"/>
      <c r="G48" s="16"/>
      <c r="H48" s="16"/>
      <c r="I48" s="16"/>
      <c r="J48" s="16"/>
      <c r="K48" s="16"/>
      <c r="L48" s="239">
        <v>2970472</v>
      </c>
      <c r="M48" s="16"/>
      <c r="N48" s="16"/>
      <c r="O48" s="21"/>
      <c r="P48" s="62"/>
      <c r="Q48" s="139"/>
      <c r="S48" t="s">
        <v>81</v>
      </c>
      <c r="T48" s="298">
        <f>-L37</f>
        <v>1525568</v>
      </c>
      <c r="U48" s="300">
        <f>ROUNDUP(T48/$T$55,2)</f>
        <v>9.9999999999999992E-2</v>
      </c>
    </row>
    <row r="49" spans="1:22" x14ac:dyDescent="0.3">
      <c r="A49" s="136"/>
      <c r="B49" s="149" t="s">
        <v>82</v>
      </c>
      <c r="C49" s="114"/>
      <c r="D49" s="15"/>
      <c r="E49" s="15"/>
      <c r="F49" s="16"/>
      <c r="G49" s="16"/>
      <c r="H49" s="16"/>
      <c r="I49" s="16"/>
      <c r="J49" s="16"/>
      <c r="K49" s="16"/>
      <c r="L49" s="239">
        <f>379929</f>
        <v>379929</v>
      </c>
      <c r="M49" s="16"/>
      <c r="N49" s="16"/>
      <c r="O49" s="21"/>
      <c r="P49" s="62"/>
      <c r="Q49" s="139"/>
      <c r="S49" t="s">
        <v>63</v>
      </c>
      <c r="T49" s="298">
        <f>-L38</f>
        <v>1113000</v>
      </c>
      <c r="U49" s="300">
        <f t="shared" ref="U49:U54" si="3">ROUND(T49/$T$55,2)</f>
        <v>7.0000000000000007E-2</v>
      </c>
    </row>
    <row r="50" spans="1:22" x14ac:dyDescent="0.3">
      <c r="A50" s="136"/>
      <c r="B50" s="237" t="s">
        <v>83</v>
      </c>
      <c r="C50" s="77"/>
      <c r="D50" s="78"/>
      <c r="E50" s="78"/>
      <c r="F50" s="79"/>
      <c r="G50" s="79"/>
      <c r="H50" s="79"/>
      <c r="I50" s="79"/>
      <c r="J50" s="79"/>
      <c r="K50" s="79"/>
      <c r="L50" s="227">
        <f>SUM(L48:L49)</f>
        <v>3350401</v>
      </c>
      <c r="M50" s="16"/>
      <c r="N50" s="16"/>
      <c r="O50" s="21"/>
      <c r="P50" s="62"/>
      <c r="Q50" s="139"/>
      <c r="S50" t="s">
        <v>65</v>
      </c>
      <c r="T50" s="298">
        <f>-L39</f>
        <v>688851.2</v>
      </c>
      <c r="U50" s="300">
        <f t="shared" si="3"/>
        <v>0.04</v>
      </c>
    </row>
    <row r="51" spans="1:22" x14ac:dyDescent="0.3">
      <c r="A51" s="136"/>
      <c r="B51" s="149" t="s">
        <v>84</v>
      </c>
      <c r="C51" s="114"/>
      <c r="D51" s="15"/>
      <c r="E51" s="15"/>
      <c r="F51" s="16"/>
      <c r="G51" s="16"/>
      <c r="H51" s="16"/>
      <c r="I51" s="16"/>
      <c r="J51" s="16"/>
      <c r="K51" s="16"/>
      <c r="L51" s="239">
        <v>1940409</v>
      </c>
      <c r="M51" s="16"/>
      <c r="N51" s="16"/>
      <c r="O51" s="21"/>
      <c r="P51" s="62">
        <v>1673250</v>
      </c>
      <c r="Q51" s="139"/>
      <c r="S51" t="s">
        <v>85</v>
      </c>
      <c r="T51" s="298">
        <f>-L40-L41-L42-L43-L44</f>
        <v>1173772.0823938223</v>
      </c>
      <c r="U51" s="300">
        <f t="shared" si="3"/>
        <v>7.0000000000000007E-2</v>
      </c>
    </row>
    <row r="52" spans="1:22" x14ac:dyDescent="0.3">
      <c r="A52" s="166"/>
      <c r="B52" s="149" t="s">
        <v>86</v>
      </c>
      <c r="C52" s="114"/>
      <c r="D52" s="15"/>
      <c r="E52" s="15"/>
      <c r="F52" s="16"/>
      <c r="G52" s="16"/>
      <c r="H52" s="16"/>
      <c r="I52" s="16"/>
      <c r="J52" s="16"/>
      <c r="K52" s="16"/>
      <c r="L52" s="239">
        <f>362108+158000</f>
        <v>520108</v>
      </c>
      <c r="M52" s="16"/>
      <c r="N52" s="16"/>
      <c r="O52" s="21"/>
      <c r="P52" s="62">
        <v>519759</v>
      </c>
      <c r="Q52" s="139"/>
      <c r="S52" t="s">
        <v>87</v>
      </c>
      <c r="T52" s="298">
        <v>242661</v>
      </c>
      <c r="U52" s="300">
        <f>ROUNDUP(T52/$T$55,2)</f>
        <v>0.02</v>
      </c>
    </row>
    <row r="53" spans="1:22" x14ac:dyDescent="0.3">
      <c r="A53" s="136"/>
      <c r="B53" s="237" t="s">
        <v>88</v>
      </c>
      <c r="C53" s="77"/>
      <c r="D53" s="78"/>
      <c r="E53" s="78"/>
      <c r="F53" s="79"/>
      <c r="G53" s="79"/>
      <c r="H53" s="79"/>
      <c r="I53" s="79"/>
      <c r="J53" s="79"/>
      <c r="K53" s="79"/>
      <c r="L53" s="227">
        <f>SUM(L51:L52)</f>
        <v>2460517</v>
      </c>
      <c r="M53" s="16"/>
      <c r="N53" s="16"/>
      <c r="O53" s="21"/>
      <c r="P53" s="62"/>
      <c r="Q53" s="139"/>
      <c r="S53" t="s">
        <v>89</v>
      </c>
      <c r="T53" s="298">
        <v>543841</v>
      </c>
      <c r="U53" s="300">
        <f t="shared" si="3"/>
        <v>0.03</v>
      </c>
    </row>
    <row r="54" spans="1:22" x14ac:dyDescent="0.3">
      <c r="A54" s="136"/>
      <c r="B54" s="149" t="s">
        <v>90</v>
      </c>
      <c r="C54" s="114"/>
      <c r="D54" s="15"/>
      <c r="E54" s="15"/>
      <c r="F54" s="16"/>
      <c r="G54" s="16"/>
      <c r="H54" s="16"/>
      <c r="I54" s="16"/>
      <c r="J54" s="16"/>
      <c r="K54" s="16"/>
      <c r="L54" s="239">
        <v>1253517</v>
      </c>
      <c r="M54" s="16"/>
      <c r="N54" s="16"/>
      <c r="O54" s="21"/>
      <c r="P54" s="62"/>
      <c r="Q54" s="139"/>
      <c r="S54" t="s">
        <v>77</v>
      </c>
      <c r="T54" s="298">
        <f>-L46</f>
        <v>4241400</v>
      </c>
      <c r="U54" s="300">
        <f t="shared" si="3"/>
        <v>0.26</v>
      </c>
    </row>
    <row r="55" spans="1:22" x14ac:dyDescent="0.3">
      <c r="A55" s="136"/>
      <c r="B55" s="149" t="s">
        <v>91</v>
      </c>
      <c r="C55" s="8"/>
      <c r="D55" s="8"/>
      <c r="E55" s="9"/>
      <c r="F55" s="58"/>
      <c r="G55" s="58"/>
      <c r="H55" s="58"/>
      <c r="I55" s="58"/>
      <c r="J55" s="58"/>
      <c r="K55" s="58"/>
      <c r="L55" s="239">
        <v>625531</v>
      </c>
      <c r="M55" s="16"/>
      <c r="N55" s="16"/>
      <c r="O55" s="21"/>
      <c r="P55" s="62"/>
      <c r="Q55" s="139"/>
      <c r="S55" t="s">
        <v>92</v>
      </c>
      <c r="T55" s="299">
        <f>SUM(T47:T54)</f>
        <v>16193491.282393821</v>
      </c>
      <c r="V55" s="297"/>
    </row>
    <row r="56" spans="1:22" x14ac:dyDescent="0.3">
      <c r="A56" s="142"/>
      <c r="B56" s="238" t="s">
        <v>93</v>
      </c>
      <c r="C56" s="167"/>
      <c r="D56" s="167"/>
      <c r="E56" s="168"/>
      <c r="F56" s="169"/>
      <c r="G56" s="169"/>
      <c r="H56" s="169"/>
      <c r="I56" s="169"/>
      <c r="J56" s="169"/>
      <c r="K56" s="170"/>
      <c r="L56" s="240">
        <f>SUM(L54:L55)</f>
        <v>1879048</v>
      </c>
      <c r="M56" s="171"/>
      <c r="N56" s="171"/>
      <c r="O56" s="172"/>
      <c r="P56" s="173">
        <f>L56+L53+L50</f>
        <v>7689966</v>
      </c>
      <c r="Q56" s="146"/>
      <c r="R56" s="119">
        <f>P56-L33</f>
        <v>-7808331</v>
      </c>
    </row>
    <row r="57" spans="1:22" x14ac:dyDescent="0.3">
      <c r="B57" s="114"/>
      <c r="C57" s="8"/>
      <c r="D57" s="8"/>
      <c r="E57" s="9"/>
      <c r="F57" s="58"/>
      <c r="G57" s="58"/>
      <c r="H57" s="58"/>
      <c r="I57" s="58"/>
      <c r="J57" s="58"/>
      <c r="K57" s="80"/>
      <c r="L57" s="3"/>
      <c r="M57" s="16"/>
      <c r="N57" s="16"/>
      <c r="O57" s="21"/>
      <c r="P57" s="62"/>
    </row>
    <row r="58" spans="1:22" ht="21" x14ac:dyDescent="0.4">
      <c r="A58" s="129"/>
      <c r="B58" s="1150" t="s">
        <v>94</v>
      </c>
      <c r="C58" s="1150"/>
      <c r="D58" s="1150"/>
      <c r="E58" s="1150"/>
      <c r="F58" s="1150"/>
      <c r="G58" s="1150"/>
      <c r="H58" s="1150"/>
      <c r="I58" s="1150"/>
      <c r="J58" s="1150"/>
      <c r="K58" s="1150"/>
      <c r="L58" s="1150"/>
      <c r="M58" s="1150"/>
      <c r="N58" s="1150"/>
      <c r="O58" s="1151"/>
      <c r="P58" s="162"/>
      <c r="Q58" s="135"/>
    </row>
    <row r="59" spans="1:22" x14ac:dyDescent="0.3">
      <c r="A59" s="136"/>
      <c r="B59" s="117"/>
      <c r="C59" s="117"/>
      <c r="D59" s="117"/>
      <c r="E59" s="117"/>
      <c r="F59" s="117"/>
      <c r="G59" s="117"/>
      <c r="H59" s="117"/>
      <c r="I59" s="117"/>
      <c r="J59" s="117"/>
      <c r="K59" s="117"/>
      <c r="L59" s="117"/>
      <c r="M59" s="117"/>
      <c r="N59" s="117"/>
      <c r="O59" s="21"/>
      <c r="P59" s="60"/>
      <c r="Q59" s="139"/>
    </row>
    <row r="60" spans="1:22" x14ac:dyDescent="0.3">
      <c r="A60" s="136"/>
      <c r="B60" s="255"/>
      <c r="C60" s="151" t="s">
        <v>19</v>
      </c>
      <c r="D60" s="229" t="s">
        <v>20</v>
      </c>
      <c r="E60" s="230"/>
      <c r="F60" s="1147" t="s">
        <v>21</v>
      </c>
      <c r="G60" s="1148"/>
      <c r="H60" s="1148"/>
      <c r="I60" s="1147" t="s">
        <v>22</v>
      </c>
      <c r="J60" s="1148"/>
      <c r="K60" s="1148"/>
      <c r="L60" s="200" t="s">
        <v>23</v>
      </c>
      <c r="M60" s="3"/>
      <c r="N60" s="3"/>
      <c r="O60" s="21"/>
      <c r="P60" s="60"/>
      <c r="Q60" s="139"/>
    </row>
    <row r="61" spans="1:22" x14ac:dyDescent="0.3">
      <c r="A61" s="136"/>
      <c r="B61" s="149"/>
      <c r="C61" s="163" t="s">
        <v>26</v>
      </c>
      <c r="D61" s="4" t="s">
        <v>26</v>
      </c>
      <c r="E61" s="5"/>
      <c r="F61" s="152"/>
      <c r="G61" s="151" t="s">
        <v>27</v>
      </c>
      <c r="H61" s="151" t="s">
        <v>27</v>
      </c>
      <c r="I61" s="152"/>
      <c r="J61" s="151"/>
      <c r="K61" s="151"/>
      <c r="L61" s="201" t="s">
        <v>28</v>
      </c>
      <c r="M61" s="17"/>
      <c r="N61" s="3"/>
      <c r="O61" s="21"/>
      <c r="P61" s="60"/>
      <c r="Q61" s="139"/>
    </row>
    <row r="62" spans="1:22" x14ac:dyDescent="0.3">
      <c r="A62" s="136"/>
      <c r="B62" s="149" t="s">
        <v>30</v>
      </c>
      <c r="C62" s="58" t="s">
        <v>31</v>
      </c>
      <c r="D62" s="8"/>
      <c r="E62" s="9"/>
      <c r="F62" s="191" t="s">
        <v>29</v>
      </c>
      <c r="G62" s="192" t="s">
        <v>32</v>
      </c>
      <c r="H62" s="197" t="s">
        <v>33</v>
      </c>
      <c r="I62" s="191" t="s">
        <v>34</v>
      </c>
      <c r="J62" s="196" t="s">
        <v>35</v>
      </c>
      <c r="K62" s="196" t="s">
        <v>36</v>
      </c>
      <c r="L62" s="260" t="s">
        <v>29</v>
      </c>
      <c r="M62" s="164" t="s">
        <v>32</v>
      </c>
      <c r="N62" s="165" t="s">
        <v>33</v>
      </c>
      <c r="O62" s="22" t="s">
        <v>37</v>
      </c>
      <c r="P62" s="60"/>
      <c r="Q62" s="139"/>
    </row>
    <row r="63" spans="1:22" x14ac:dyDescent="0.3">
      <c r="A63" s="136"/>
      <c r="B63" s="233" t="s">
        <v>38</v>
      </c>
      <c r="C63" s="116">
        <v>8</v>
      </c>
      <c r="D63" s="6">
        <v>3</v>
      </c>
      <c r="E63" s="6"/>
      <c r="F63" s="186">
        <f>(C63*D63*260)</f>
        <v>6240</v>
      </c>
      <c r="G63" s="175">
        <f>F63*1.1</f>
        <v>6864.0000000000009</v>
      </c>
      <c r="H63" s="187">
        <f>F63*1.2</f>
        <v>7488</v>
      </c>
      <c r="I63" s="176">
        <f>F63*5</f>
        <v>31200</v>
      </c>
      <c r="J63" s="175">
        <f>F63*5.5</f>
        <v>34320</v>
      </c>
      <c r="K63" s="175">
        <f>F63*6</f>
        <v>37440</v>
      </c>
      <c r="L63" s="211">
        <f>F63*65</f>
        <v>405600</v>
      </c>
      <c r="M63" s="18">
        <f>G63*65</f>
        <v>446160.00000000006</v>
      </c>
      <c r="N63" s="10">
        <f>H63*65</f>
        <v>486720</v>
      </c>
      <c r="O63" s="21"/>
      <c r="P63" s="60"/>
      <c r="Q63" s="139"/>
    </row>
    <row r="64" spans="1:22" x14ac:dyDescent="0.3">
      <c r="A64" s="136"/>
      <c r="B64" s="149" t="s">
        <v>39</v>
      </c>
      <c r="C64" s="58" t="s">
        <v>31</v>
      </c>
      <c r="D64" s="6"/>
      <c r="E64" s="6"/>
      <c r="F64" s="186"/>
      <c r="G64" s="175"/>
      <c r="H64" s="187"/>
      <c r="I64" s="176"/>
      <c r="J64" s="175"/>
      <c r="K64" s="175"/>
      <c r="L64" s="211"/>
      <c r="M64" s="18"/>
      <c r="N64" s="10"/>
      <c r="O64" s="21"/>
      <c r="P64" s="60"/>
      <c r="Q64" s="139"/>
    </row>
    <row r="65" spans="1:17" x14ac:dyDescent="0.3">
      <c r="A65" s="136"/>
      <c r="B65" s="233" t="s">
        <v>40</v>
      </c>
      <c r="C65" s="116">
        <v>6</v>
      </c>
      <c r="D65" s="6">
        <v>2</v>
      </c>
      <c r="E65" s="6"/>
      <c r="F65" s="186">
        <f>(C65*D65*260)</f>
        <v>3120</v>
      </c>
      <c r="G65" s="175">
        <f>F65*1.1</f>
        <v>3432.0000000000005</v>
      </c>
      <c r="H65" s="187">
        <f>F65*1.2</f>
        <v>3744</v>
      </c>
      <c r="I65" s="176">
        <f>F65*3</f>
        <v>9360</v>
      </c>
      <c r="J65" s="175">
        <f>F65*4</f>
        <v>12480</v>
      </c>
      <c r="K65" s="175">
        <f>F65*5</f>
        <v>15600</v>
      </c>
      <c r="L65" s="211">
        <f>F65*65</f>
        <v>202800</v>
      </c>
      <c r="M65" s="18">
        <f>G65*65</f>
        <v>223080.00000000003</v>
      </c>
      <c r="N65" s="10">
        <f>H65*65</f>
        <v>243360</v>
      </c>
      <c r="O65" s="21"/>
      <c r="P65" s="60"/>
      <c r="Q65" s="139"/>
    </row>
    <row r="66" spans="1:17" x14ac:dyDescent="0.3">
      <c r="A66" s="136"/>
      <c r="B66" s="149" t="s">
        <v>41</v>
      </c>
      <c r="C66" s="114" t="s">
        <v>42</v>
      </c>
      <c r="D66" s="6"/>
      <c r="E66" s="6"/>
      <c r="F66" s="186"/>
      <c r="G66" s="175"/>
      <c r="H66" s="187"/>
      <c r="I66" s="176"/>
      <c r="J66" s="175"/>
      <c r="K66" s="175"/>
      <c r="L66" s="211"/>
      <c r="M66" s="18"/>
      <c r="N66" s="10"/>
      <c r="O66" s="21"/>
      <c r="P66" s="60"/>
      <c r="Q66" s="139"/>
    </row>
    <row r="67" spans="1:17" x14ac:dyDescent="0.3">
      <c r="A67" s="136"/>
      <c r="B67" s="149" t="s">
        <v>43</v>
      </c>
      <c r="C67" s="114"/>
      <c r="D67" s="6"/>
      <c r="E67" s="6"/>
      <c r="F67" s="186"/>
      <c r="G67" s="175"/>
      <c r="H67" s="187"/>
      <c r="I67" s="176"/>
      <c r="J67" s="175">
        <f>L67/10</f>
        <v>3000</v>
      </c>
      <c r="K67" s="175"/>
      <c r="L67" s="211">
        <v>30000</v>
      </c>
      <c r="M67" s="18"/>
      <c r="N67" s="10"/>
      <c r="O67" s="21"/>
      <c r="P67" s="60"/>
      <c r="Q67" s="139"/>
    </row>
    <row r="68" spans="1:17" x14ac:dyDescent="0.3">
      <c r="A68" s="136"/>
      <c r="B68" s="233" t="s">
        <v>95</v>
      </c>
      <c r="C68" s="116">
        <v>8</v>
      </c>
      <c r="D68" s="45">
        <v>0.5</v>
      </c>
      <c r="E68" s="6"/>
      <c r="F68" s="186">
        <f>(C68*D68*60)</f>
        <v>240</v>
      </c>
      <c r="G68" s="175">
        <f>F68*1.1</f>
        <v>264</v>
      </c>
      <c r="H68" s="187">
        <f>F68*1.2</f>
        <v>288</v>
      </c>
      <c r="I68" s="176">
        <f>F68*1.5</f>
        <v>360</v>
      </c>
      <c r="J68" s="176">
        <f>G68*1.5</f>
        <v>396</v>
      </c>
      <c r="K68" s="176">
        <f>H68*1.5</f>
        <v>432</v>
      </c>
      <c r="L68" s="211">
        <f>F68*65</f>
        <v>15600</v>
      </c>
      <c r="M68" s="18">
        <f>G68*65</f>
        <v>17160</v>
      </c>
      <c r="N68" s="10">
        <f>H68*65</f>
        <v>18720</v>
      </c>
      <c r="O68" s="28"/>
      <c r="P68" s="60"/>
      <c r="Q68" s="139"/>
    </row>
    <row r="69" spans="1:17" x14ac:dyDescent="0.3">
      <c r="A69" s="136"/>
      <c r="B69" s="233" t="s">
        <v>96</v>
      </c>
      <c r="C69" s="116"/>
      <c r="D69" s="45"/>
      <c r="E69" s="6"/>
      <c r="F69" s="186"/>
      <c r="G69" s="175"/>
      <c r="H69" s="187"/>
      <c r="I69" s="176">
        <f>I30*$H$12</f>
        <v>3343.0074909437617</v>
      </c>
      <c r="J69" s="176">
        <f>J30*$H$12</f>
        <v>4680.2104873212666</v>
      </c>
      <c r="K69" s="176">
        <f>K30*$H$12</f>
        <v>5348.8119855100185</v>
      </c>
      <c r="L69" s="211">
        <f>I12</f>
        <v>97108.603805897408</v>
      </c>
      <c r="M69" s="18">
        <f>L69*1.1</f>
        <v>106819.46418648715</v>
      </c>
      <c r="N69" s="10">
        <f>L69*1.2</f>
        <v>116530.32456707688</v>
      </c>
      <c r="O69" s="28"/>
      <c r="P69" s="60"/>
      <c r="Q69" s="139"/>
    </row>
    <row r="70" spans="1:17" x14ac:dyDescent="0.3">
      <c r="A70" s="136"/>
      <c r="B70" s="252" t="s">
        <v>92</v>
      </c>
      <c r="C70" s="32"/>
      <c r="D70" s="33"/>
      <c r="E70" s="33"/>
      <c r="F70" s="208">
        <f>SUM(F63:F68)</f>
        <v>9600</v>
      </c>
      <c r="G70" s="209">
        <f>SUM(G63:G68)</f>
        <v>10560.000000000002</v>
      </c>
      <c r="H70" s="210">
        <f>SUM(H63:H68)</f>
        <v>11520</v>
      </c>
      <c r="I70" s="209">
        <f t="shared" ref="I70:N70" si="4">SUM(I63:I69)</f>
        <v>44263.007490943761</v>
      </c>
      <c r="J70" s="209">
        <f t="shared" si="4"/>
        <v>54876.210487321267</v>
      </c>
      <c r="K70" s="209">
        <f t="shared" si="4"/>
        <v>58820.811985510016</v>
      </c>
      <c r="L70" s="212">
        <f t="shared" si="4"/>
        <v>751108.60380589741</v>
      </c>
      <c r="M70" s="34">
        <f t="shared" si="4"/>
        <v>793219.46418648725</v>
      </c>
      <c r="N70" s="35">
        <f t="shared" si="4"/>
        <v>865330.32456707687</v>
      </c>
      <c r="O70" s="36">
        <f>N70-L70</f>
        <v>114221.72076117946</v>
      </c>
      <c r="P70" s="60"/>
      <c r="Q70" s="139"/>
    </row>
    <row r="71" spans="1:17" x14ac:dyDescent="0.3">
      <c r="A71" s="136"/>
      <c r="B71" s="147" t="s">
        <v>56</v>
      </c>
      <c r="C71" s="25"/>
      <c r="D71" s="26"/>
      <c r="E71" s="26"/>
      <c r="F71" s="27"/>
      <c r="G71" s="27"/>
      <c r="H71" s="27"/>
      <c r="I71" s="27"/>
      <c r="J71" s="27"/>
      <c r="K71" s="27"/>
      <c r="L71" s="241">
        <f>J70*C16</f>
        <v>54876.210487321267</v>
      </c>
      <c r="M71" s="39"/>
      <c r="N71" s="39"/>
      <c r="O71" s="36"/>
      <c r="P71" s="65">
        <f>L71+L74+L75</f>
        <v>198804.49531699053</v>
      </c>
      <c r="Q71" s="139"/>
    </row>
    <row r="72" spans="1:17" x14ac:dyDescent="0.3">
      <c r="A72" s="136"/>
      <c r="B72" s="253" t="str">
        <f>B36</f>
        <v>Federal Grant Carbon Reduction Grant</v>
      </c>
      <c r="C72" s="74" t="s">
        <v>97</v>
      </c>
      <c r="D72" s="75"/>
      <c r="E72" s="75"/>
      <c r="F72" s="76"/>
      <c r="G72" s="76"/>
      <c r="H72" s="76"/>
      <c r="I72" s="76"/>
      <c r="J72" s="76"/>
      <c r="K72" s="76"/>
      <c r="L72" s="242">
        <f>(L36*K12)*-1</f>
        <v>40689.000406890002</v>
      </c>
      <c r="M72" s="39"/>
      <c r="N72" s="39"/>
      <c r="O72" s="36"/>
      <c r="P72" s="60"/>
      <c r="Q72" s="139"/>
    </row>
    <row r="73" spans="1:17" x14ac:dyDescent="0.3">
      <c r="A73" s="136"/>
      <c r="B73" s="147" t="s">
        <v>98</v>
      </c>
      <c r="C73" s="25"/>
      <c r="D73" s="26"/>
      <c r="E73" s="26"/>
      <c r="F73" s="27"/>
      <c r="G73" s="27"/>
      <c r="H73" s="27"/>
      <c r="I73" s="27"/>
      <c r="J73" s="27"/>
      <c r="K73" s="27"/>
      <c r="L73" s="243">
        <f>L48*L12</f>
        <v>417152.29959040374</v>
      </c>
      <c r="M73" s="39"/>
      <c r="N73" s="39"/>
      <c r="O73" s="36"/>
      <c r="P73" s="65">
        <f>L73+L72</f>
        <v>457841.29999729374</v>
      </c>
      <c r="Q73" s="139"/>
    </row>
    <row r="74" spans="1:17" x14ac:dyDescent="0.3">
      <c r="A74" s="136"/>
      <c r="B74" s="147" t="s">
        <v>61</v>
      </c>
      <c r="C74" s="25"/>
      <c r="D74" s="26"/>
      <c r="E74" s="26"/>
      <c r="F74" s="27"/>
      <c r="G74" s="27"/>
      <c r="H74" s="27"/>
      <c r="I74" s="27"/>
      <c r="J74" s="27"/>
      <c r="K74" s="27"/>
      <c r="L74" s="243">
        <f>L49*L12</f>
        <v>53354.569923932118</v>
      </c>
      <c r="M74" s="39"/>
      <c r="N74" s="39"/>
      <c r="O74" s="36"/>
      <c r="P74" s="65">
        <f>P73/2</f>
        <v>228920.64999864687</v>
      </c>
      <c r="Q74" s="139"/>
    </row>
    <row r="75" spans="1:17" x14ac:dyDescent="0.3">
      <c r="A75" s="136"/>
      <c r="B75" s="147" t="s">
        <v>51</v>
      </c>
      <c r="C75" s="25"/>
      <c r="D75" s="26"/>
      <c r="E75" s="26"/>
      <c r="F75" s="27"/>
      <c r="G75" s="27"/>
      <c r="H75" s="27"/>
      <c r="I75" s="27"/>
      <c r="J75" s="27"/>
      <c r="K75" s="27"/>
      <c r="L75" s="243">
        <f>(L38*K12)*-1</f>
        <v>90573.714905737143</v>
      </c>
      <c r="M75" s="39"/>
      <c r="N75" s="39"/>
      <c r="O75" s="36"/>
      <c r="P75" s="72">
        <f>P74-P71</f>
        <v>30116.154681656335</v>
      </c>
      <c r="Q75" s="139"/>
    </row>
    <row r="76" spans="1:17" x14ac:dyDescent="0.3">
      <c r="A76" s="136"/>
      <c r="B76" s="254" t="s">
        <v>99</v>
      </c>
      <c r="C76" s="37"/>
      <c r="D76" s="38"/>
      <c r="E76" s="38"/>
      <c r="F76" s="39"/>
      <c r="G76" s="39"/>
      <c r="H76" s="39"/>
      <c r="I76" s="39"/>
      <c r="J76" s="39"/>
      <c r="K76" s="39"/>
      <c r="L76" s="244">
        <f>SUM(L71:L75)</f>
        <v>656645.79531428427</v>
      </c>
      <c r="M76" s="39"/>
      <c r="N76" s="39"/>
      <c r="O76" s="36"/>
      <c r="P76" s="60"/>
      <c r="Q76" s="139"/>
    </row>
    <row r="77" spans="1:17" x14ac:dyDescent="0.3">
      <c r="A77" s="136"/>
      <c r="B77" s="234" t="s">
        <v>100</v>
      </c>
      <c r="C77" s="12"/>
      <c r="D77" s="13"/>
      <c r="E77" s="13"/>
      <c r="F77" s="14"/>
      <c r="G77" s="14"/>
      <c r="H77" s="14"/>
      <c r="I77" s="14"/>
      <c r="J77" s="14"/>
      <c r="K77" s="14"/>
      <c r="L77" s="245">
        <f>L70-L76</f>
        <v>94462.808491613134</v>
      </c>
      <c r="M77" s="39"/>
      <c r="N77" s="39"/>
      <c r="O77" s="36"/>
      <c r="P77" s="72">
        <f>P75</f>
        <v>30116.154681656335</v>
      </c>
      <c r="Q77" s="139"/>
    </row>
    <row r="78" spans="1:17" x14ac:dyDescent="0.3">
      <c r="A78" s="136"/>
      <c r="B78" s="114"/>
      <c r="C78" s="114"/>
      <c r="D78" s="15"/>
      <c r="E78" s="15"/>
      <c r="F78" s="16"/>
      <c r="G78" s="16"/>
      <c r="H78" s="16"/>
      <c r="I78" s="16"/>
      <c r="J78" s="16"/>
      <c r="K78" s="16"/>
      <c r="L78" s="16"/>
      <c r="M78" s="16"/>
      <c r="N78" s="16"/>
      <c r="O78" s="23"/>
      <c r="P78" s="60"/>
      <c r="Q78" s="139"/>
    </row>
    <row r="79" spans="1:17" ht="21" x14ac:dyDescent="0.4">
      <c r="A79" s="129"/>
      <c r="B79" s="1157" t="s">
        <v>101</v>
      </c>
      <c r="C79" s="1157"/>
      <c r="D79" s="1157"/>
      <c r="E79" s="1157"/>
      <c r="F79" s="1157"/>
      <c r="G79" s="1157"/>
      <c r="H79" s="1157"/>
      <c r="I79" s="1157"/>
      <c r="J79" s="1157"/>
      <c r="K79" s="1157"/>
      <c r="L79" s="1157"/>
      <c r="M79" s="1157"/>
      <c r="N79" s="1157"/>
      <c r="O79" s="1157"/>
      <c r="P79" s="174"/>
      <c r="Q79" s="135"/>
    </row>
    <row r="80" spans="1:17" x14ac:dyDescent="0.3">
      <c r="A80" s="136"/>
      <c r="B80" s="118"/>
      <c r="C80" s="118"/>
      <c r="D80" s="118"/>
      <c r="E80" s="118"/>
      <c r="F80" s="118"/>
      <c r="G80" s="118"/>
      <c r="H80" s="118"/>
      <c r="I80" s="118"/>
      <c r="J80" s="118"/>
      <c r="K80" s="118"/>
      <c r="L80" s="118"/>
      <c r="M80" s="118"/>
      <c r="N80" s="118"/>
      <c r="O80" s="28"/>
      <c r="P80" s="60"/>
      <c r="Q80" s="139"/>
    </row>
    <row r="81" spans="1:17" x14ac:dyDescent="0.3">
      <c r="A81" s="136"/>
      <c r="B81" s="255"/>
      <c r="C81" s="151" t="s">
        <v>19</v>
      </c>
      <c r="D81" s="229" t="s">
        <v>20</v>
      </c>
      <c r="E81" s="230"/>
      <c r="F81" s="1147" t="s">
        <v>21</v>
      </c>
      <c r="G81" s="1148"/>
      <c r="H81" s="1148"/>
      <c r="I81" s="1147" t="s">
        <v>22</v>
      </c>
      <c r="J81" s="1148"/>
      <c r="K81" s="1148"/>
      <c r="L81" s="200" t="s">
        <v>23</v>
      </c>
      <c r="M81" s="11"/>
      <c r="N81" s="11"/>
      <c r="O81" s="21"/>
      <c r="P81" s="60"/>
      <c r="Q81" s="139"/>
    </row>
    <row r="82" spans="1:17" x14ac:dyDescent="0.3">
      <c r="A82" s="136"/>
      <c r="B82" s="149"/>
      <c r="C82" s="163" t="s">
        <v>26</v>
      </c>
      <c r="D82" s="4" t="s">
        <v>26</v>
      </c>
      <c r="E82" s="5"/>
      <c r="F82" s="152"/>
      <c r="G82" s="151" t="s">
        <v>27</v>
      </c>
      <c r="H82" s="151" t="s">
        <v>27</v>
      </c>
      <c r="I82" s="152"/>
      <c r="J82" s="151"/>
      <c r="K82" s="151"/>
      <c r="L82" s="201" t="s">
        <v>28</v>
      </c>
      <c r="M82" s="17"/>
      <c r="N82" s="3"/>
      <c r="O82" s="21"/>
      <c r="P82" s="60"/>
      <c r="Q82" s="139"/>
    </row>
    <row r="83" spans="1:17" x14ac:dyDescent="0.3">
      <c r="A83" s="136"/>
      <c r="B83" s="149" t="s">
        <v>30</v>
      </c>
      <c r="C83" s="58" t="s">
        <v>31</v>
      </c>
      <c r="D83" s="8"/>
      <c r="E83" s="9"/>
      <c r="F83" s="153" t="s">
        <v>29</v>
      </c>
      <c r="G83" s="164" t="s">
        <v>32</v>
      </c>
      <c r="H83" s="165" t="s">
        <v>33</v>
      </c>
      <c r="I83" s="191" t="s">
        <v>34</v>
      </c>
      <c r="J83" s="196" t="s">
        <v>35</v>
      </c>
      <c r="K83" s="196" t="s">
        <v>36</v>
      </c>
      <c r="L83" s="260" t="s">
        <v>29</v>
      </c>
      <c r="M83" s="164" t="s">
        <v>32</v>
      </c>
      <c r="N83" s="165" t="s">
        <v>33</v>
      </c>
      <c r="O83" s="22" t="s">
        <v>37</v>
      </c>
      <c r="P83" s="60"/>
      <c r="Q83" s="139"/>
    </row>
    <row r="84" spans="1:17" x14ac:dyDescent="0.3">
      <c r="A84" s="136"/>
      <c r="B84" s="233" t="s">
        <v>38</v>
      </c>
      <c r="C84" s="116">
        <v>8</v>
      </c>
      <c r="D84" s="6">
        <v>3</v>
      </c>
      <c r="E84" s="6"/>
      <c r="F84" s="213">
        <f>(C84*D84*260)</f>
        <v>6240</v>
      </c>
      <c r="G84" s="214">
        <f>F84*1.1</f>
        <v>6864.0000000000009</v>
      </c>
      <c r="H84" s="215">
        <f>F84*1.2</f>
        <v>7488</v>
      </c>
      <c r="I84" s="176">
        <f>F84*5</f>
        <v>31200</v>
      </c>
      <c r="J84" s="175">
        <f>F84*5.5</f>
        <v>34320</v>
      </c>
      <c r="K84" s="175">
        <f>F84*6</f>
        <v>37440</v>
      </c>
      <c r="L84" s="219">
        <f>F84*65</f>
        <v>405600</v>
      </c>
      <c r="M84" s="18">
        <f>G84*65</f>
        <v>446160.00000000006</v>
      </c>
      <c r="N84" s="10">
        <f>H84*65</f>
        <v>486720</v>
      </c>
      <c r="O84" s="28"/>
      <c r="P84" s="60"/>
      <c r="Q84" s="139"/>
    </row>
    <row r="85" spans="1:17" x14ac:dyDescent="0.3">
      <c r="A85" s="136"/>
      <c r="B85" s="149" t="s">
        <v>39</v>
      </c>
      <c r="C85" s="58" t="s">
        <v>31</v>
      </c>
      <c r="D85" s="6"/>
      <c r="E85" s="6"/>
      <c r="F85" s="186"/>
      <c r="G85" s="175"/>
      <c r="H85" s="187"/>
      <c r="I85" s="176"/>
      <c r="J85" s="175"/>
      <c r="K85" s="175"/>
      <c r="L85" s="219"/>
      <c r="M85" s="18"/>
      <c r="N85" s="10"/>
      <c r="O85" s="28"/>
      <c r="P85" s="60"/>
      <c r="Q85" s="139"/>
    </row>
    <row r="86" spans="1:17" x14ac:dyDescent="0.3">
      <c r="A86" s="136"/>
      <c r="B86" s="233" t="s">
        <v>40</v>
      </c>
      <c r="C86" s="116">
        <v>6</v>
      </c>
      <c r="D86" s="6">
        <v>2</v>
      </c>
      <c r="E86" s="6"/>
      <c r="F86" s="186">
        <f>(C86*D86*260)</f>
        <v>3120</v>
      </c>
      <c r="G86" s="175">
        <f>F86*1.2</f>
        <v>3744</v>
      </c>
      <c r="H86" s="187">
        <f>F86*1.3</f>
        <v>4056</v>
      </c>
      <c r="I86" s="176">
        <f>F86*3</f>
        <v>9360</v>
      </c>
      <c r="J86" s="175">
        <f>F86*4</f>
        <v>12480</v>
      </c>
      <c r="K86" s="175">
        <f>F86*5</f>
        <v>15600</v>
      </c>
      <c r="L86" s="219">
        <f>F86*65</f>
        <v>202800</v>
      </c>
      <c r="M86" s="18">
        <f>G86*65</f>
        <v>243360</v>
      </c>
      <c r="N86" s="10">
        <f>H86*65</f>
        <v>263640</v>
      </c>
      <c r="O86" s="28"/>
      <c r="P86" s="60"/>
      <c r="Q86" s="139"/>
    </row>
    <row r="87" spans="1:17" x14ac:dyDescent="0.3">
      <c r="A87" s="136"/>
      <c r="B87" s="149" t="s">
        <v>41</v>
      </c>
      <c r="C87" s="114" t="s">
        <v>42</v>
      </c>
      <c r="D87" s="6"/>
      <c r="E87" s="6"/>
      <c r="F87" s="186"/>
      <c r="G87" s="175"/>
      <c r="H87" s="187"/>
      <c r="I87" s="176"/>
      <c r="J87" s="175"/>
      <c r="K87" s="175"/>
      <c r="L87" s="219"/>
      <c r="M87" s="18"/>
      <c r="N87" s="10"/>
      <c r="O87" s="28"/>
      <c r="P87" s="60"/>
      <c r="Q87" s="139"/>
    </row>
    <row r="88" spans="1:17" x14ac:dyDescent="0.3">
      <c r="A88" s="136"/>
      <c r="B88" s="149" t="s">
        <v>43</v>
      </c>
      <c r="C88" s="114"/>
      <c r="D88" s="6"/>
      <c r="E88" s="6"/>
      <c r="F88" s="186"/>
      <c r="G88" s="175"/>
      <c r="H88" s="187"/>
      <c r="I88" s="176"/>
      <c r="J88" s="175">
        <f>L88/10</f>
        <v>1045.3</v>
      </c>
      <c r="K88" s="175"/>
      <c r="L88" s="219">
        <v>10453</v>
      </c>
      <c r="M88" s="18"/>
      <c r="N88" s="10"/>
      <c r="O88" s="28"/>
      <c r="P88" s="60"/>
      <c r="Q88" s="139"/>
    </row>
    <row r="89" spans="1:17" x14ac:dyDescent="0.3">
      <c r="A89" s="136"/>
      <c r="B89" s="233" t="s">
        <v>95</v>
      </c>
      <c r="C89" s="116">
        <v>8</v>
      </c>
      <c r="D89" s="45">
        <v>0.5</v>
      </c>
      <c r="E89" s="6"/>
      <c r="F89" s="186">
        <f>(C89*D89*52)</f>
        <v>208</v>
      </c>
      <c r="G89" s="175">
        <f>F89*1.1</f>
        <v>228.8</v>
      </c>
      <c r="H89" s="187">
        <f>F89*1.2</f>
        <v>249.6</v>
      </c>
      <c r="I89" s="176">
        <f>F89*1.5</f>
        <v>312</v>
      </c>
      <c r="J89" s="176">
        <f>G89*1.5</f>
        <v>343.20000000000005</v>
      </c>
      <c r="K89" s="176">
        <f>H89*1.5</f>
        <v>374.4</v>
      </c>
      <c r="L89" s="219">
        <f>F89*65</f>
        <v>13520</v>
      </c>
      <c r="M89" s="18">
        <f>G89*65</f>
        <v>14872</v>
      </c>
      <c r="N89" s="10">
        <f>H89*65</f>
        <v>16224</v>
      </c>
      <c r="O89" s="28"/>
      <c r="P89" s="60"/>
      <c r="Q89" s="139"/>
    </row>
    <row r="90" spans="1:17" x14ac:dyDescent="0.3">
      <c r="A90" s="136"/>
      <c r="B90" s="233" t="s">
        <v>96</v>
      </c>
      <c r="C90" s="116"/>
      <c r="D90" s="45"/>
      <c r="E90" s="6"/>
      <c r="F90" s="188"/>
      <c r="G90" s="189"/>
      <c r="H90" s="190"/>
      <c r="I90" s="176">
        <f>I30*$H$13</f>
        <v>2914.4325921337499</v>
      </c>
      <c r="J90" s="176">
        <f>J30*$H$13</f>
        <v>4080.2056289872498</v>
      </c>
      <c r="K90" s="176">
        <f>K30*$H$13</f>
        <v>4663.0921474139996</v>
      </c>
      <c r="L90" s="220">
        <f>I13</f>
        <v>84659.241917705891</v>
      </c>
      <c r="M90" s="18">
        <f>L90*1.1</f>
        <v>93125.166109476486</v>
      </c>
      <c r="N90" s="10">
        <f>L90*1.2</f>
        <v>101591.09030124707</v>
      </c>
      <c r="O90" s="28"/>
      <c r="P90" s="60"/>
      <c r="Q90" s="139"/>
    </row>
    <row r="91" spans="1:17" x14ac:dyDescent="0.3">
      <c r="A91" s="136"/>
      <c r="B91" s="252" t="s">
        <v>92</v>
      </c>
      <c r="C91" s="32"/>
      <c r="D91" s="33"/>
      <c r="E91" s="33"/>
      <c r="F91" s="216">
        <f>SUM(F84:F89)</f>
        <v>9568</v>
      </c>
      <c r="G91" s="217">
        <f>SUM(G84:G89)</f>
        <v>10836.8</v>
      </c>
      <c r="H91" s="218">
        <f>SUM(H84:H89)</f>
        <v>11793.6</v>
      </c>
      <c r="I91" s="209">
        <f t="shared" ref="I91:N91" si="5">SUM(I84:I90)</f>
        <v>43786.432592133751</v>
      </c>
      <c r="J91" s="209">
        <f t="shared" si="5"/>
        <v>52268.705628987249</v>
      </c>
      <c r="K91" s="209">
        <f t="shared" si="5"/>
        <v>58077.492147413999</v>
      </c>
      <c r="L91" s="246">
        <f t="shared" si="5"/>
        <v>717032.24191770586</v>
      </c>
      <c r="M91" s="34">
        <f t="shared" si="5"/>
        <v>797517.16610947647</v>
      </c>
      <c r="N91" s="35">
        <f t="shared" si="5"/>
        <v>868175.09030124708</v>
      </c>
      <c r="O91" s="36">
        <f>N91-L91</f>
        <v>151142.84838354122</v>
      </c>
      <c r="P91" s="60"/>
      <c r="Q91" s="139"/>
    </row>
    <row r="92" spans="1:17" x14ac:dyDescent="0.3">
      <c r="A92" s="136"/>
      <c r="B92" s="147" t="s">
        <v>56</v>
      </c>
      <c r="C92" s="25"/>
      <c r="D92" s="26"/>
      <c r="E92" s="26"/>
      <c r="F92" s="27"/>
      <c r="G92" s="27"/>
      <c r="H92" s="27"/>
      <c r="I92" s="27"/>
      <c r="J92" s="27"/>
      <c r="K92" s="27"/>
      <c r="L92" s="243">
        <f>J91*C16</f>
        <v>52268.705628987249</v>
      </c>
      <c r="M92" s="39"/>
      <c r="N92" s="39"/>
      <c r="O92" s="36"/>
      <c r="P92" s="65">
        <f>L92+L95+L96</f>
        <v>195717.2295092243</v>
      </c>
      <c r="Q92" s="139"/>
    </row>
    <row r="93" spans="1:17" x14ac:dyDescent="0.3">
      <c r="A93" s="136"/>
      <c r="B93" s="253" t="str">
        <f>B36</f>
        <v>Federal Grant Carbon Reduction Grant</v>
      </c>
      <c r="C93" s="74" t="s">
        <v>97</v>
      </c>
      <c r="D93" s="75"/>
      <c r="E93" s="75"/>
      <c r="F93" s="76"/>
      <c r="G93" s="76"/>
      <c r="H93" s="76"/>
      <c r="I93" s="76"/>
      <c r="J93" s="76"/>
      <c r="K93" s="76"/>
      <c r="L93" s="242">
        <f>(L36*K13)*-1</f>
        <v>40553.3704055337</v>
      </c>
      <c r="M93" s="39"/>
      <c r="N93" s="39"/>
      <c r="O93" s="36"/>
      <c r="P93" s="60"/>
      <c r="Q93" s="139"/>
    </row>
    <row r="94" spans="1:17" x14ac:dyDescent="0.3">
      <c r="A94" s="136"/>
      <c r="B94" s="147" t="s">
        <v>98</v>
      </c>
      <c r="C94" s="25"/>
      <c r="D94" s="26"/>
      <c r="E94" s="26"/>
      <c r="F94" s="27"/>
      <c r="G94" s="27"/>
      <c r="H94" s="27"/>
      <c r="I94" s="27"/>
      <c r="J94" s="27"/>
      <c r="K94" s="27"/>
      <c r="L94" s="243">
        <f>L48*L13</f>
        <v>415761.79192510241</v>
      </c>
      <c r="M94" s="39"/>
      <c r="N94" s="39"/>
      <c r="O94" s="36"/>
      <c r="P94" s="64">
        <f>L94+L93</f>
        <v>456315.16233063611</v>
      </c>
      <c r="Q94" s="139"/>
    </row>
    <row r="95" spans="1:17" x14ac:dyDescent="0.3">
      <c r="A95" s="136"/>
      <c r="B95" s="147" t="s">
        <v>61</v>
      </c>
      <c r="C95" s="25"/>
      <c r="D95" s="26"/>
      <c r="E95" s="26"/>
      <c r="F95" s="27"/>
      <c r="G95" s="27"/>
      <c r="H95" s="27"/>
      <c r="I95" s="27"/>
      <c r="J95" s="27"/>
      <c r="K95" s="27"/>
      <c r="L95" s="243">
        <f>L49*L13</f>
        <v>53176.721357519018</v>
      </c>
      <c r="M95" s="39"/>
      <c r="N95" s="39"/>
      <c r="O95" s="36"/>
      <c r="P95" s="64">
        <f>P94/2</f>
        <v>228157.58116531806</v>
      </c>
      <c r="Q95" s="139"/>
    </row>
    <row r="96" spans="1:17" x14ac:dyDescent="0.3">
      <c r="A96" s="136"/>
      <c r="B96" s="147" t="s">
        <v>51</v>
      </c>
      <c r="C96" s="25"/>
      <c r="D96" s="26"/>
      <c r="E96" s="26"/>
      <c r="F96" s="27"/>
      <c r="G96" s="27"/>
      <c r="H96" s="27"/>
      <c r="I96" s="27"/>
      <c r="J96" s="27"/>
      <c r="K96" s="27"/>
      <c r="L96" s="243">
        <f>(L38*K13)*-1</f>
        <v>90271.802522718019</v>
      </c>
      <c r="M96" s="39"/>
      <c r="N96" s="39"/>
      <c r="O96" s="36"/>
      <c r="P96" s="71">
        <f>P95-P92</f>
        <v>32440.351656093757</v>
      </c>
      <c r="Q96" s="139"/>
    </row>
    <row r="97" spans="1:20" x14ac:dyDescent="0.3">
      <c r="A97" s="136"/>
      <c r="B97" s="254" t="s">
        <v>99</v>
      </c>
      <c r="C97" s="37"/>
      <c r="D97" s="38"/>
      <c r="E97" s="38"/>
      <c r="F97" s="39"/>
      <c r="G97" s="39"/>
      <c r="H97" s="39"/>
      <c r="I97" s="39"/>
      <c r="J97" s="39"/>
      <c r="K97" s="39"/>
      <c r="L97" s="244">
        <f>SUM(L92:L96)</f>
        <v>652032.39183986036</v>
      </c>
      <c r="M97" s="39"/>
      <c r="N97" s="39"/>
      <c r="O97" s="36"/>
      <c r="P97" s="60"/>
      <c r="Q97" s="139"/>
    </row>
    <row r="98" spans="1:20" x14ac:dyDescent="0.3">
      <c r="A98" s="136"/>
      <c r="B98" s="234" t="s">
        <v>100</v>
      </c>
      <c r="C98" s="12"/>
      <c r="D98" s="13"/>
      <c r="E98" s="13"/>
      <c r="F98" s="14"/>
      <c r="G98" s="14"/>
      <c r="H98" s="14"/>
      <c r="I98" s="14"/>
      <c r="J98" s="14"/>
      <c r="K98" s="14"/>
      <c r="L98" s="245">
        <f>L91-L97</f>
        <v>64999.850077845505</v>
      </c>
      <c r="M98" s="39"/>
      <c r="N98" s="39"/>
      <c r="O98" s="36"/>
      <c r="P98" s="71">
        <f>P96</f>
        <v>32440.351656093757</v>
      </c>
      <c r="Q98" s="139"/>
    </row>
    <row r="99" spans="1:20" x14ac:dyDescent="0.3">
      <c r="A99" s="136"/>
      <c r="B99" s="114"/>
      <c r="C99" s="114"/>
      <c r="D99" s="15"/>
      <c r="E99" s="15"/>
      <c r="F99" s="16"/>
      <c r="G99" s="16"/>
      <c r="H99" s="16"/>
      <c r="I99" s="16"/>
      <c r="J99" s="16"/>
      <c r="K99" s="16"/>
      <c r="L99" s="16"/>
      <c r="M99" s="16"/>
      <c r="N99" s="16"/>
      <c r="O99" s="29"/>
      <c r="P99" s="60"/>
      <c r="Q99" s="139"/>
    </row>
    <row r="100" spans="1:20" ht="21" x14ac:dyDescent="0.4">
      <c r="A100" s="129"/>
      <c r="B100" s="1157" t="s">
        <v>102</v>
      </c>
      <c r="C100" s="1157"/>
      <c r="D100" s="1157"/>
      <c r="E100" s="1157"/>
      <c r="F100" s="1157"/>
      <c r="G100" s="1157"/>
      <c r="H100" s="1157"/>
      <c r="I100" s="1157"/>
      <c r="J100" s="1157"/>
      <c r="K100" s="1157"/>
      <c r="L100" s="1157"/>
      <c r="M100" s="1157"/>
      <c r="N100" s="1157"/>
      <c r="O100" s="1157"/>
      <c r="P100" s="174"/>
      <c r="Q100" s="135"/>
    </row>
    <row r="101" spans="1:20" x14ac:dyDescent="0.3">
      <c r="A101" s="136"/>
      <c r="B101" s="118"/>
      <c r="C101" s="118"/>
      <c r="D101" s="118"/>
      <c r="E101" s="118"/>
      <c r="F101" s="118"/>
      <c r="G101" s="118"/>
      <c r="H101" s="118"/>
      <c r="I101" s="118"/>
      <c r="J101" s="118"/>
      <c r="K101" s="118"/>
      <c r="L101" s="118"/>
      <c r="M101" s="118"/>
      <c r="N101" s="118"/>
      <c r="O101" s="28"/>
      <c r="P101" s="60"/>
      <c r="Q101" s="139"/>
    </row>
    <row r="102" spans="1:20" x14ac:dyDescent="0.3">
      <c r="A102" s="136"/>
      <c r="B102" s="255"/>
      <c r="C102" s="151" t="s">
        <v>19</v>
      </c>
      <c r="D102" s="229" t="s">
        <v>20</v>
      </c>
      <c r="E102" s="230"/>
      <c r="F102" s="1147" t="s">
        <v>21</v>
      </c>
      <c r="G102" s="1148"/>
      <c r="H102" s="1148"/>
      <c r="I102" s="1147" t="s">
        <v>22</v>
      </c>
      <c r="J102" s="1148"/>
      <c r="K102" s="1148"/>
      <c r="L102" s="200" t="s">
        <v>23</v>
      </c>
      <c r="M102" s="11"/>
      <c r="N102" s="11"/>
      <c r="O102" s="21"/>
      <c r="P102" s="60"/>
      <c r="Q102" s="139"/>
    </row>
    <row r="103" spans="1:20" x14ac:dyDescent="0.3">
      <c r="A103" s="136"/>
      <c r="B103" s="149"/>
      <c r="C103" s="163" t="s">
        <v>26</v>
      </c>
      <c r="D103" s="4" t="s">
        <v>26</v>
      </c>
      <c r="E103" s="5"/>
      <c r="F103" s="152"/>
      <c r="G103" s="151" t="s">
        <v>27</v>
      </c>
      <c r="H103" s="151" t="s">
        <v>27</v>
      </c>
      <c r="I103" s="152"/>
      <c r="J103" s="151"/>
      <c r="K103" s="151"/>
      <c r="L103" s="201" t="s">
        <v>28</v>
      </c>
      <c r="M103" s="17"/>
      <c r="N103" s="3"/>
      <c r="O103" s="21"/>
      <c r="P103" s="60"/>
      <c r="Q103" s="139"/>
    </row>
    <row r="104" spans="1:20" x14ac:dyDescent="0.3">
      <c r="A104" s="136"/>
      <c r="B104" s="149" t="s">
        <v>30</v>
      </c>
      <c r="C104" s="58" t="s">
        <v>31</v>
      </c>
      <c r="D104" s="8"/>
      <c r="E104" s="9"/>
      <c r="F104" s="153" t="s">
        <v>29</v>
      </c>
      <c r="G104" s="164" t="s">
        <v>32</v>
      </c>
      <c r="H104" s="165" t="s">
        <v>33</v>
      </c>
      <c r="I104" s="191" t="s">
        <v>34</v>
      </c>
      <c r="J104" s="196" t="s">
        <v>35</v>
      </c>
      <c r="K104" s="196" t="s">
        <v>36</v>
      </c>
      <c r="L104" s="260" t="s">
        <v>29</v>
      </c>
      <c r="M104" s="164" t="s">
        <v>32</v>
      </c>
      <c r="N104" s="165" t="s">
        <v>33</v>
      </c>
      <c r="O104" s="22" t="s">
        <v>37</v>
      </c>
      <c r="P104" s="60"/>
      <c r="Q104" s="139"/>
    </row>
    <row r="105" spans="1:20" x14ac:dyDescent="0.3">
      <c r="A105" s="136"/>
      <c r="B105" s="233" t="s">
        <v>38</v>
      </c>
      <c r="C105" s="116">
        <v>8</v>
      </c>
      <c r="D105" s="6">
        <f>D11</f>
        <v>15</v>
      </c>
      <c r="E105" s="6"/>
      <c r="F105" s="213">
        <f>(C105*D105*260)</f>
        <v>31200</v>
      </c>
      <c r="G105" s="214">
        <f>F105*1.1</f>
        <v>34320</v>
      </c>
      <c r="H105" s="215">
        <f>F105*1.2</f>
        <v>37440</v>
      </c>
      <c r="I105" s="176">
        <f>F105*5</f>
        <v>156000</v>
      </c>
      <c r="J105" s="175">
        <f>F105*5.5</f>
        <v>171600</v>
      </c>
      <c r="K105" s="175">
        <f>F105*6</f>
        <v>187200</v>
      </c>
      <c r="L105" s="219">
        <f>F105*65</f>
        <v>2028000</v>
      </c>
      <c r="M105" s="18">
        <f>G105*65</f>
        <v>2230800</v>
      </c>
      <c r="N105" s="10">
        <f>H105*65</f>
        <v>2433600</v>
      </c>
      <c r="O105" s="28"/>
      <c r="P105" s="60"/>
      <c r="Q105" s="139"/>
      <c r="R105" s="120">
        <f>G11</f>
        <v>153143</v>
      </c>
      <c r="S105" s="63">
        <f>R105/R108</f>
        <v>0.68305204189042124</v>
      </c>
      <c r="T105" t="s">
        <v>103</v>
      </c>
    </row>
    <row r="106" spans="1:20" x14ac:dyDescent="0.3">
      <c r="A106" s="136"/>
      <c r="B106" s="149" t="s">
        <v>39</v>
      </c>
      <c r="C106" s="58" t="s">
        <v>31</v>
      </c>
      <c r="D106" s="6"/>
      <c r="E106" s="6"/>
      <c r="F106" s="186"/>
      <c r="G106" s="175"/>
      <c r="H106" s="187"/>
      <c r="I106" s="176"/>
      <c r="J106" s="175"/>
      <c r="K106" s="175"/>
      <c r="L106" s="219"/>
      <c r="M106" s="18"/>
      <c r="N106" s="10"/>
      <c r="O106" s="28"/>
      <c r="P106" s="60"/>
      <c r="Q106" s="139"/>
      <c r="R106" s="120">
        <f>G12</f>
        <v>37964</v>
      </c>
      <c r="S106">
        <f>R106/R108</f>
        <v>0.16932793348914382</v>
      </c>
      <c r="T106" t="s">
        <v>104</v>
      </c>
    </row>
    <row r="107" spans="1:20" x14ac:dyDescent="0.3">
      <c r="A107" s="136"/>
      <c r="B107" s="233" t="s">
        <v>40</v>
      </c>
      <c r="C107" s="116">
        <v>6</v>
      </c>
      <c r="D107" s="6">
        <f>C11</f>
        <v>11</v>
      </c>
      <c r="E107" s="6"/>
      <c r="F107" s="186">
        <f>(C107*D107*260)</f>
        <v>17160</v>
      </c>
      <c r="G107" s="175">
        <f>F107*1.2</f>
        <v>20592</v>
      </c>
      <c r="H107" s="187">
        <f>F107*1.3</f>
        <v>22308</v>
      </c>
      <c r="I107" s="176">
        <f>F107*3</f>
        <v>51480</v>
      </c>
      <c r="J107" s="175">
        <f>F107*4</f>
        <v>68640</v>
      </c>
      <c r="K107" s="175">
        <f>F107*5</f>
        <v>85800</v>
      </c>
      <c r="L107" s="219">
        <f>F107*65</f>
        <v>1115400</v>
      </c>
      <c r="M107" s="18">
        <f>G107*65</f>
        <v>1338480</v>
      </c>
      <c r="N107" s="10">
        <f>H107*65</f>
        <v>1450020</v>
      </c>
      <c r="O107" s="28"/>
      <c r="P107" s="60"/>
      <c r="Q107" s="139"/>
      <c r="R107" s="120">
        <f>G13</f>
        <v>33097</v>
      </c>
      <c r="S107">
        <f>R107/R108</f>
        <v>0.14762002462043497</v>
      </c>
      <c r="T107" t="s">
        <v>105</v>
      </c>
    </row>
    <row r="108" spans="1:20" x14ac:dyDescent="0.3">
      <c r="A108" s="136"/>
      <c r="B108" s="149" t="s">
        <v>41</v>
      </c>
      <c r="C108" s="114" t="s">
        <v>42</v>
      </c>
      <c r="D108" s="6"/>
      <c r="E108" s="6"/>
      <c r="F108" s="186"/>
      <c r="G108" s="175"/>
      <c r="H108" s="187"/>
      <c r="I108" s="176"/>
      <c r="J108" s="175"/>
      <c r="K108" s="175"/>
      <c r="L108" s="219"/>
      <c r="M108" s="18"/>
      <c r="N108" s="10"/>
      <c r="O108" s="28"/>
      <c r="P108" s="60"/>
      <c r="Q108" s="139"/>
      <c r="R108" s="120">
        <f>SUM(R105:R107)</f>
        <v>224204</v>
      </c>
    </row>
    <row r="109" spans="1:20" x14ac:dyDescent="0.3">
      <c r="A109" s="136"/>
      <c r="B109" s="149" t="s">
        <v>43</v>
      </c>
      <c r="C109" s="114"/>
      <c r="D109" s="6"/>
      <c r="E109" s="6"/>
      <c r="F109" s="186"/>
      <c r="G109" s="175"/>
      <c r="H109" s="187"/>
      <c r="I109" s="176"/>
      <c r="J109" s="175">
        <f>L109/10</f>
        <v>35000</v>
      </c>
      <c r="K109" s="175"/>
      <c r="L109" s="219">
        <v>350000</v>
      </c>
      <c r="M109" s="18"/>
      <c r="N109" s="10"/>
      <c r="O109" s="28"/>
      <c r="P109" s="60"/>
      <c r="Q109" s="139"/>
      <c r="R109" s="120"/>
    </row>
    <row r="110" spans="1:20" x14ac:dyDescent="0.3">
      <c r="A110" s="136"/>
      <c r="B110" s="233" t="s">
        <v>95</v>
      </c>
      <c r="C110" s="116">
        <v>8</v>
      </c>
      <c r="D110" s="45">
        <v>2</v>
      </c>
      <c r="E110" s="6"/>
      <c r="F110" s="186">
        <f>(C110*D110*52)</f>
        <v>832</v>
      </c>
      <c r="G110" s="175">
        <f>F110*1.1</f>
        <v>915.2</v>
      </c>
      <c r="H110" s="187">
        <f>F110*1.2</f>
        <v>998.4</v>
      </c>
      <c r="I110" s="176">
        <f>F110*1.5</f>
        <v>1248</v>
      </c>
      <c r="J110" s="176">
        <f>G110*1.5</f>
        <v>1372.8000000000002</v>
      </c>
      <c r="K110" s="176">
        <f>H110*1.5</f>
        <v>1497.6</v>
      </c>
      <c r="L110" s="219">
        <f>F110*65</f>
        <v>54080</v>
      </c>
      <c r="M110" s="18">
        <f>G110*65</f>
        <v>59488</v>
      </c>
      <c r="N110" s="10">
        <f>H110*65</f>
        <v>64896</v>
      </c>
      <c r="O110" s="28"/>
      <c r="P110" s="60"/>
      <c r="Q110" s="139"/>
    </row>
    <row r="111" spans="1:20" x14ac:dyDescent="0.3">
      <c r="A111" s="136"/>
      <c r="B111" s="233" t="s">
        <v>96</v>
      </c>
      <c r="C111" s="116"/>
      <c r="D111" s="45"/>
      <c r="E111" s="6"/>
      <c r="F111" s="188"/>
      <c r="G111" s="189"/>
      <c r="H111" s="190"/>
      <c r="I111" s="176">
        <f>I30*$H$11</f>
        <v>13485.359714087044</v>
      </c>
      <c r="J111" s="176">
        <f>J30*$H$11</f>
        <v>18879.503599721862</v>
      </c>
      <c r="K111" s="176">
        <f>K30*$H$11</f>
        <v>21576.575542539271</v>
      </c>
      <c r="L111" s="219">
        <f>I11</f>
        <v>391726.4490740319</v>
      </c>
      <c r="M111" s="18">
        <f>L111*1.1</f>
        <v>430899.09398143511</v>
      </c>
      <c r="N111" s="10">
        <f>L111*1.2</f>
        <v>470071.73888883827</v>
      </c>
      <c r="O111" s="28"/>
      <c r="P111" s="60"/>
      <c r="Q111" s="139"/>
    </row>
    <row r="112" spans="1:20" x14ac:dyDescent="0.3">
      <c r="A112" s="136"/>
      <c r="B112" s="256" t="s">
        <v>92</v>
      </c>
      <c r="C112" s="221"/>
      <c r="D112" s="222"/>
      <c r="E112" s="222"/>
      <c r="F112" s="223">
        <f t="shared" ref="F112:K112" si="6">SUM(F105:F110)</f>
        <v>49192</v>
      </c>
      <c r="G112" s="224">
        <f t="shared" si="6"/>
        <v>55827.199999999997</v>
      </c>
      <c r="H112" s="225">
        <f t="shared" si="6"/>
        <v>60746.400000000001</v>
      </c>
      <c r="I112" s="226">
        <f>SUM(I105:I111)</f>
        <v>222213.35971408704</v>
      </c>
      <c r="J112" s="226">
        <f t="shared" si="6"/>
        <v>276612.8</v>
      </c>
      <c r="K112" s="226">
        <f t="shared" si="6"/>
        <v>274497.59999999998</v>
      </c>
      <c r="L112" s="247">
        <f>SUM(L105:L111)</f>
        <v>3939206.4490740318</v>
      </c>
      <c r="M112" s="39">
        <f>SUM(M105:M111)</f>
        <v>4059667.0939814351</v>
      </c>
      <c r="N112" s="40">
        <f>SUM(N105:N111)</f>
        <v>4418587.7388888383</v>
      </c>
      <c r="O112" s="36">
        <f>N112-L112</f>
        <v>479381.28981480654</v>
      </c>
      <c r="P112" s="60"/>
      <c r="Q112" s="139"/>
      <c r="R112" s="258"/>
    </row>
    <row r="113" spans="1:17" x14ac:dyDescent="0.3">
      <c r="A113" s="136"/>
      <c r="B113" s="149" t="s">
        <v>56</v>
      </c>
      <c r="C113" s="114"/>
      <c r="D113" s="15"/>
      <c r="E113" s="15"/>
      <c r="F113" s="16"/>
      <c r="G113" s="16"/>
      <c r="H113" s="16"/>
      <c r="I113" s="16"/>
      <c r="J113" s="16"/>
      <c r="K113" s="16"/>
      <c r="L113" s="241">
        <f>J112*C16</f>
        <v>276612.8</v>
      </c>
      <c r="M113" s="39"/>
      <c r="N113" s="39"/>
      <c r="O113" s="36"/>
      <c r="P113" s="65">
        <f>L113+L116+L118</f>
        <v>1014125.319514697</v>
      </c>
      <c r="Q113" s="139"/>
    </row>
    <row r="114" spans="1:17" x14ac:dyDescent="0.3">
      <c r="A114" s="136"/>
      <c r="B114" s="253" t="str">
        <f>B36</f>
        <v>Federal Grant Carbon Reduction Grant</v>
      </c>
      <c r="C114" s="74" t="s">
        <v>97</v>
      </c>
      <c r="D114" s="75"/>
      <c r="E114" s="75"/>
      <c r="F114" s="76"/>
      <c r="G114" s="76"/>
      <c r="H114" s="76"/>
      <c r="I114" s="76"/>
      <c r="J114" s="76"/>
      <c r="K114" s="76"/>
      <c r="L114" s="242">
        <f>(L36*K11)*-1</f>
        <v>208497.21958497219</v>
      </c>
      <c r="M114" s="39"/>
      <c r="N114" s="39"/>
      <c r="O114" s="36"/>
      <c r="P114" s="60"/>
      <c r="Q114" s="139"/>
    </row>
    <row r="115" spans="1:17" x14ac:dyDescent="0.3">
      <c r="A115" s="136"/>
      <c r="B115" s="147" t="s">
        <v>98</v>
      </c>
      <c r="C115" s="25"/>
      <c r="D115" s="26"/>
      <c r="E115" s="26"/>
      <c r="F115" s="27"/>
      <c r="G115" s="27"/>
      <c r="H115" s="27"/>
      <c r="I115" s="27"/>
      <c r="J115" s="27"/>
      <c r="K115" s="27"/>
      <c r="L115" s="243">
        <f>L48*L11</f>
        <v>2137557.9084844938</v>
      </c>
      <c r="M115" s="39"/>
      <c r="N115" s="39"/>
      <c r="O115" s="36"/>
      <c r="P115" s="64">
        <f>L115+L114</f>
        <v>2346055.128069466</v>
      </c>
      <c r="Q115" s="139"/>
    </row>
    <row r="116" spans="1:17" x14ac:dyDescent="0.3">
      <c r="A116" s="136"/>
      <c r="B116" s="147" t="s">
        <v>61</v>
      </c>
      <c r="C116" s="25"/>
      <c r="D116" s="26"/>
      <c r="E116" s="26"/>
      <c r="F116" s="27"/>
      <c r="G116" s="27"/>
      <c r="H116" s="27"/>
      <c r="I116" s="27"/>
      <c r="J116" s="27"/>
      <c r="K116" s="27"/>
      <c r="L116" s="243">
        <f>L49*L11</f>
        <v>273397.70871854888</v>
      </c>
      <c r="M116" s="39"/>
      <c r="N116" s="39"/>
      <c r="O116" s="36"/>
      <c r="P116" s="64">
        <f>P115/2</f>
        <v>1173027.564034733</v>
      </c>
      <c r="Q116" s="139"/>
    </row>
    <row r="117" spans="1:17" x14ac:dyDescent="0.3">
      <c r="A117" s="136"/>
      <c r="B117" s="253" t="s">
        <v>106</v>
      </c>
      <c r="C117" s="74"/>
      <c r="D117" s="75"/>
      <c r="E117" s="75"/>
      <c r="F117" s="76"/>
      <c r="G117" s="76"/>
      <c r="H117" s="76"/>
      <c r="I117" s="76"/>
      <c r="J117" s="76"/>
      <c r="K117" s="76"/>
      <c r="L117" s="242">
        <v>650000</v>
      </c>
      <c r="M117" s="39"/>
      <c r="N117" s="39"/>
      <c r="O117" s="36"/>
      <c r="P117" s="64"/>
      <c r="Q117" s="139"/>
    </row>
    <row r="118" spans="1:17" x14ac:dyDescent="0.3">
      <c r="A118" s="136"/>
      <c r="B118" s="147" t="s">
        <v>51</v>
      </c>
      <c r="C118" s="25"/>
      <c r="D118" s="26"/>
      <c r="E118" s="26"/>
      <c r="F118" s="27"/>
      <c r="G118" s="27"/>
      <c r="H118" s="27"/>
      <c r="I118" s="27"/>
      <c r="J118" s="27"/>
      <c r="K118" s="27"/>
      <c r="L118" s="243">
        <f>(L38*K11)*-1</f>
        <v>464114.81079614809</v>
      </c>
      <c r="M118" s="39"/>
      <c r="N118" s="39"/>
      <c r="O118" s="36"/>
      <c r="P118" s="71">
        <f>P116-P113</f>
        <v>158902.24452003604</v>
      </c>
      <c r="Q118" s="139"/>
    </row>
    <row r="119" spans="1:17" x14ac:dyDescent="0.3">
      <c r="A119" s="136"/>
      <c r="B119" s="254" t="s">
        <v>99</v>
      </c>
      <c r="C119" s="37"/>
      <c r="D119" s="38"/>
      <c r="E119" s="38"/>
      <c r="F119" s="39"/>
      <c r="G119" s="39"/>
      <c r="H119" s="39"/>
      <c r="I119" s="39"/>
      <c r="J119" s="39"/>
      <c r="K119" s="39"/>
      <c r="L119" s="244">
        <f>SUM(L113:L118)</f>
        <v>4010180.4475841629</v>
      </c>
      <c r="M119" s="39"/>
      <c r="N119" s="39"/>
      <c r="O119" s="36"/>
      <c r="P119" s="60"/>
      <c r="Q119" s="139"/>
    </row>
    <row r="120" spans="1:17" x14ac:dyDescent="0.3">
      <c r="A120" s="136"/>
      <c r="B120" s="234" t="s">
        <v>100</v>
      </c>
      <c r="C120" s="12"/>
      <c r="D120" s="13"/>
      <c r="E120" s="13"/>
      <c r="F120" s="14"/>
      <c r="G120" s="14"/>
      <c r="H120" s="14"/>
      <c r="I120" s="14"/>
      <c r="J120" s="14"/>
      <c r="K120" s="14"/>
      <c r="L120" s="248">
        <f>L112-L119</f>
        <v>-70973.998510131147</v>
      </c>
      <c r="M120" s="39"/>
      <c r="N120" s="39"/>
      <c r="O120" s="36"/>
      <c r="P120" s="71">
        <f>P118</f>
        <v>158902.24452003604</v>
      </c>
      <c r="Q120" s="139"/>
    </row>
    <row r="121" spans="1:17" x14ac:dyDescent="0.3">
      <c r="A121" s="136"/>
      <c r="B121" s="114"/>
      <c r="C121" s="114"/>
      <c r="D121" s="15"/>
      <c r="E121" s="15"/>
      <c r="F121" s="16"/>
      <c r="G121" s="16"/>
      <c r="H121" s="16"/>
      <c r="I121" s="16"/>
      <c r="J121" s="16"/>
      <c r="K121" s="16"/>
      <c r="L121" s="16"/>
      <c r="M121" s="41"/>
      <c r="N121" s="41"/>
      <c r="O121" s="36"/>
      <c r="P121" s="71"/>
      <c r="Q121" s="139"/>
    </row>
    <row r="122" spans="1:17" ht="21" x14ac:dyDescent="0.4">
      <c r="A122" s="129"/>
      <c r="B122" s="1157" t="s">
        <v>107</v>
      </c>
      <c r="C122" s="1157"/>
      <c r="D122" s="1157"/>
      <c r="E122" s="1157"/>
      <c r="F122" s="1157"/>
      <c r="G122" s="1157"/>
      <c r="H122" s="1157"/>
      <c r="I122" s="1157"/>
      <c r="J122" s="1157"/>
      <c r="K122" s="1157"/>
      <c r="L122" s="1157"/>
      <c r="M122" s="1157"/>
      <c r="N122" s="1157"/>
      <c r="O122" s="1157"/>
      <c r="P122" s="174"/>
      <c r="Q122" s="135"/>
    </row>
    <row r="123" spans="1:17" x14ac:dyDescent="0.3">
      <c r="A123" s="136"/>
      <c r="B123" s="118"/>
      <c r="C123" s="118"/>
      <c r="D123" s="118"/>
      <c r="E123" s="118"/>
      <c r="F123" s="118"/>
      <c r="G123" s="118"/>
      <c r="H123" s="118"/>
      <c r="I123" s="118"/>
      <c r="J123" s="118"/>
      <c r="K123" s="118"/>
      <c r="L123" s="118"/>
      <c r="M123" s="118"/>
      <c r="N123" s="118"/>
      <c r="O123" s="28"/>
      <c r="P123" s="60"/>
      <c r="Q123" s="139"/>
    </row>
    <row r="124" spans="1:17" x14ac:dyDescent="0.3">
      <c r="A124" s="136"/>
      <c r="B124" s="255"/>
      <c r="C124" s="151" t="s">
        <v>19</v>
      </c>
      <c r="D124" s="229" t="s">
        <v>20</v>
      </c>
      <c r="E124" s="230"/>
      <c r="F124" s="1147" t="s">
        <v>21</v>
      </c>
      <c r="G124" s="1148"/>
      <c r="H124" s="1148"/>
      <c r="I124" s="1147" t="s">
        <v>22</v>
      </c>
      <c r="J124" s="1148"/>
      <c r="K124" s="1148"/>
      <c r="L124" s="200" t="s">
        <v>23</v>
      </c>
      <c r="M124" s="11"/>
      <c r="N124" s="11"/>
      <c r="O124" s="21"/>
      <c r="P124" s="60"/>
      <c r="Q124" s="139"/>
    </row>
    <row r="125" spans="1:17" x14ac:dyDescent="0.3">
      <c r="A125" s="136"/>
      <c r="B125" s="149"/>
      <c r="C125" s="163" t="s">
        <v>26</v>
      </c>
      <c r="D125" s="4" t="s">
        <v>26</v>
      </c>
      <c r="E125" s="5"/>
      <c r="F125" s="152"/>
      <c r="G125" s="151" t="s">
        <v>27</v>
      </c>
      <c r="H125" s="185" t="s">
        <v>27</v>
      </c>
      <c r="I125" s="151"/>
      <c r="J125" s="151"/>
      <c r="K125" s="151"/>
      <c r="L125" s="201" t="s">
        <v>28</v>
      </c>
      <c r="M125" s="17"/>
      <c r="N125" s="3"/>
      <c r="O125" s="21"/>
      <c r="P125" s="60"/>
      <c r="Q125" s="139"/>
    </row>
    <row r="126" spans="1:17" x14ac:dyDescent="0.3">
      <c r="A126" s="136"/>
      <c r="B126" s="149" t="s">
        <v>30</v>
      </c>
      <c r="C126" s="58" t="s">
        <v>31</v>
      </c>
      <c r="D126" s="8"/>
      <c r="E126" s="9"/>
      <c r="F126" s="191" t="s">
        <v>29</v>
      </c>
      <c r="G126" s="192" t="s">
        <v>32</v>
      </c>
      <c r="H126" s="193" t="s">
        <v>33</v>
      </c>
      <c r="I126" s="196" t="s">
        <v>34</v>
      </c>
      <c r="J126" s="196" t="s">
        <v>35</v>
      </c>
      <c r="K126" s="196" t="s">
        <v>36</v>
      </c>
      <c r="L126" s="260" t="s">
        <v>29</v>
      </c>
      <c r="M126" s="164" t="s">
        <v>32</v>
      </c>
      <c r="N126" s="165" t="s">
        <v>33</v>
      </c>
      <c r="O126" s="22" t="s">
        <v>37</v>
      </c>
      <c r="P126" s="60"/>
      <c r="Q126" s="139"/>
    </row>
    <row r="127" spans="1:17" x14ac:dyDescent="0.3">
      <c r="A127" s="136"/>
      <c r="B127" s="233" t="s">
        <v>38</v>
      </c>
      <c r="C127" s="116">
        <v>8</v>
      </c>
      <c r="D127" s="6">
        <v>3</v>
      </c>
      <c r="E127" s="6"/>
      <c r="F127" s="186">
        <f>(C127*D127*260)</f>
        <v>6240</v>
      </c>
      <c r="G127" s="175">
        <f>F127*1.1</f>
        <v>6864.0000000000009</v>
      </c>
      <c r="H127" s="187">
        <f>F127*1.2</f>
        <v>7488</v>
      </c>
      <c r="I127" s="176">
        <f>F127*5</f>
        <v>31200</v>
      </c>
      <c r="J127" s="175">
        <f>F127*5.5</f>
        <v>34320</v>
      </c>
      <c r="K127" s="175">
        <f>F127*6</f>
        <v>37440</v>
      </c>
      <c r="L127" s="249">
        <f>F127*65</f>
        <v>405600</v>
      </c>
      <c r="M127" s="18">
        <f>G127*65</f>
        <v>446160.00000000006</v>
      </c>
      <c r="N127" s="10">
        <f>H127*65</f>
        <v>486720</v>
      </c>
      <c r="O127" s="28"/>
      <c r="P127" s="60"/>
      <c r="Q127" s="139"/>
    </row>
    <row r="128" spans="1:17" x14ac:dyDescent="0.3">
      <c r="A128" s="136"/>
      <c r="B128" s="149" t="s">
        <v>39</v>
      </c>
      <c r="C128" s="58" t="s">
        <v>31</v>
      </c>
      <c r="D128" s="6"/>
      <c r="E128" s="6"/>
      <c r="F128" s="186"/>
      <c r="G128" s="175"/>
      <c r="H128" s="187"/>
      <c r="I128" s="176"/>
      <c r="J128" s="175"/>
      <c r="K128" s="175"/>
      <c r="L128" s="249"/>
      <c r="M128" s="18"/>
      <c r="N128" s="10"/>
      <c r="O128" s="28"/>
      <c r="P128" s="60"/>
      <c r="Q128" s="139"/>
    </row>
    <row r="129" spans="1:17" x14ac:dyDescent="0.3">
      <c r="A129" s="136"/>
      <c r="B129" s="233" t="s">
        <v>40</v>
      </c>
      <c r="C129" s="116">
        <v>6</v>
      </c>
      <c r="D129" s="6">
        <v>2</v>
      </c>
      <c r="E129" s="6"/>
      <c r="F129" s="186">
        <f>(C129*D129*260)</f>
        <v>3120</v>
      </c>
      <c r="G129" s="175">
        <f>F129*1.1</f>
        <v>3432.0000000000005</v>
      </c>
      <c r="H129" s="187">
        <f>F129*1.2</f>
        <v>3744</v>
      </c>
      <c r="I129" s="176">
        <f>F129*3</f>
        <v>9360</v>
      </c>
      <c r="J129" s="175">
        <f>F129*4</f>
        <v>12480</v>
      </c>
      <c r="K129" s="175">
        <f>F129*5</f>
        <v>15600</v>
      </c>
      <c r="L129" s="249">
        <f>F129*65</f>
        <v>202800</v>
      </c>
      <c r="M129" s="18">
        <f>G129*65</f>
        <v>223080.00000000003</v>
      </c>
      <c r="N129" s="10">
        <f>H129*65</f>
        <v>243360</v>
      </c>
      <c r="O129" s="28"/>
      <c r="P129" s="60"/>
      <c r="Q129" s="139"/>
    </row>
    <row r="130" spans="1:17" x14ac:dyDescent="0.3">
      <c r="A130" s="136"/>
      <c r="B130" s="149" t="s">
        <v>41</v>
      </c>
      <c r="C130" s="114" t="s">
        <v>42</v>
      </c>
      <c r="D130" s="6"/>
      <c r="E130" s="6"/>
      <c r="F130" s="186"/>
      <c r="G130" s="175"/>
      <c r="H130" s="187"/>
      <c r="I130" s="176"/>
      <c r="J130" s="175"/>
      <c r="K130" s="175"/>
      <c r="L130" s="249"/>
      <c r="M130" s="18"/>
      <c r="N130" s="10"/>
      <c r="O130" s="28"/>
      <c r="P130" s="60"/>
      <c r="Q130" s="139"/>
    </row>
    <row r="131" spans="1:17" x14ac:dyDescent="0.3">
      <c r="A131" s="136"/>
      <c r="B131" s="149" t="s">
        <v>43</v>
      </c>
      <c r="C131" s="114"/>
      <c r="D131" s="6"/>
      <c r="E131" s="6"/>
      <c r="F131" s="186"/>
      <c r="G131" s="175"/>
      <c r="H131" s="187"/>
      <c r="I131" s="176"/>
      <c r="J131" s="175">
        <f>L131/10</f>
        <v>3000</v>
      </c>
      <c r="K131" s="175"/>
      <c r="L131" s="249">
        <v>30000</v>
      </c>
      <c r="M131" s="18"/>
      <c r="N131" s="10"/>
      <c r="O131" s="28"/>
      <c r="P131" s="60"/>
      <c r="Q131" s="139"/>
    </row>
    <row r="132" spans="1:17" x14ac:dyDescent="0.3">
      <c r="A132" s="136"/>
      <c r="B132" s="233" t="s">
        <v>95</v>
      </c>
      <c r="C132" s="116">
        <v>8</v>
      </c>
      <c r="D132" s="45">
        <v>1</v>
      </c>
      <c r="E132" s="6"/>
      <c r="F132" s="186">
        <f>(C132*D132*52)</f>
        <v>416</v>
      </c>
      <c r="G132" s="175">
        <f>F132*1.1</f>
        <v>457.6</v>
      </c>
      <c r="H132" s="187">
        <f>F132*1.2</f>
        <v>499.2</v>
      </c>
      <c r="I132" s="176">
        <f>F132*1.5</f>
        <v>624</v>
      </c>
      <c r="J132" s="176">
        <f>G132*1.5</f>
        <v>686.40000000000009</v>
      </c>
      <c r="K132" s="176">
        <f>H132*1.5</f>
        <v>748.8</v>
      </c>
      <c r="L132" s="249">
        <f>F132*65</f>
        <v>27040</v>
      </c>
      <c r="M132" s="18">
        <f>G132*65</f>
        <v>29744</v>
      </c>
      <c r="N132" s="10">
        <f>H132*65</f>
        <v>32448</v>
      </c>
      <c r="O132" s="28"/>
      <c r="P132" s="60"/>
      <c r="Q132" s="139"/>
    </row>
    <row r="133" spans="1:17" x14ac:dyDescent="0.3">
      <c r="A133" s="136"/>
      <c r="B133" s="233" t="s">
        <v>96</v>
      </c>
      <c r="C133" s="116"/>
      <c r="D133" s="45"/>
      <c r="E133" s="6"/>
      <c r="F133" s="186"/>
      <c r="G133" s="175"/>
      <c r="H133" s="187"/>
      <c r="I133" s="176">
        <f>I30*$H$10</f>
        <v>2030.0730875623615</v>
      </c>
      <c r="J133" s="176"/>
      <c r="K133" s="176">
        <f>K30*$H$10</f>
        <v>3248.1169400997783</v>
      </c>
      <c r="L133" s="249">
        <f>I10</f>
        <v>58970.123067673558</v>
      </c>
      <c r="M133" s="18">
        <f>L133*1.1</f>
        <v>64867.135374440921</v>
      </c>
      <c r="N133" s="10">
        <f>L133*1.2</f>
        <v>70764.147681208269</v>
      </c>
      <c r="O133" s="28"/>
      <c r="P133" s="60"/>
      <c r="Q133" s="139"/>
    </row>
    <row r="134" spans="1:17" x14ac:dyDescent="0.3">
      <c r="A134" s="136"/>
      <c r="B134" s="252" t="s">
        <v>92</v>
      </c>
      <c r="C134" s="32"/>
      <c r="D134" s="33"/>
      <c r="E134" s="33"/>
      <c r="F134" s="208">
        <f>SUM(F127:F132)</f>
        <v>9776</v>
      </c>
      <c r="G134" s="209">
        <f>SUM(G127:G132)</f>
        <v>10753.600000000002</v>
      </c>
      <c r="H134" s="210">
        <f>SUM(H127:H132)</f>
        <v>11731.2</v>
      </c>
      <c r="I134" s="209">
        <f t="shared" ref="I134:N134" si="7">SUM(I127:I133)</f>
        <v>43214.073087562363</v>
      </c>
      <c r="J134" s="209">
        <f t="shared" si="7"/>
        <v>50486.400000000001</v>
      </c>
      <c r="K134" s="209">
        <f t="shared" si="7"/>
        <v>57036.916940099778</v>
      </c>
      <c r="L134" s="246">
        <f t="shared" si="7"/>
        <v>724410.12306767353</v>
      </c>
      <c r="M134" s="34">
        <f t="shared" si="7"/>
        <v>763851.13537444104</v>
      </c>
      <c r="N134" s="35">
        <f t="shared" si="7"/>
        <v>833292.14768120833</v>
      </c>
      <c r="O134" s="36">
        <f>N134-L134</f>
        <v>108882.0246135348</v>
      </c>
      <c r="P134" s="60"/>
      <c r="Q134" s="139"/>
    </row>
    <row r="135" spans="1:17" x14ac:dyDescent="0.3">
      <c r="A135" s="136"/>
      <c r="B135" s="147" t="s">
        <v>56</v>
      </c>
      <c r="C135" s="25"/>
      <c r="D135" s="26"/>
      <c r="E135" s="26"/>
      <c r="F135" s="27"/>
      <c r="G135" s="27"/>
      <c r="H135" s="27"/>
      <c r="I135" s="27"/>
      <c r="J135" s="27"/>
      <c r="K135" s="27"/>
      <c r="L135" s="243">
        <f>J134*C16</f>
        <v>50486.400000000001</v>
      </c>
      <c r="M135" s="39"/>
      <c r="N135" s="39"/>
      <c r="O135" s="36"/>
      <c r="P135" s="65">
        <f>L135+L138+L139</f>
        <v>245215.7105804765</v>
      </c>
      <c r="Q135" s="139"/>
    </row>
    <row r="136" spans="1:17" x14ac:dyDescent="0.3">
      <c r="A136" s="136"/>
      <c r="B136" s="253" t="str">
        <f>B36</f>
        <v>Federal Grant Carbon Reduction Grant</v>
      </c>
      <c r="C136" s="74" t="s">
        <v>97</v>
      </c>
      <c r="D136" s="75"/>
      <c r="E136" s="75"/>
      <c r="F136" s="76"/>
      <c r="G136" s="76"/>
      <c r="H136" s="76"/>
      <c r="I136" s="76"/>
      <c r="J136" s="76"/>
      <c r="K136" s="76"/>
      <c r="L136" s="242">
        <f>(K10*L36)*-1</f>
        <v>41434.965414349659</v>
      </c>
      <c r="M136" s="39"/>
      <c r="N136" s="39"/>
      <c r="O136" s="36"/>
      <c r="P136" s="60"/>
      <c r="Q136" s="139"/>
    </row>
    <row r="137" spans="1:17" x14ac:dyDescent="0.3">
      <c r="A137" s="136"/>
      <c r="B137" s="147" t="s">
        <v>98</v>
      </c>
      <c r="C137" s="25"/>
      <c r="D137" s="26"/>
      <c r="E137" s="26"/>
      <c r="F137" s="27"/>
      <c r="G137" s="27"/>
      <c r="H137" s="27"/>
      <c r="I137" s="27"/>
      <c r="J137" s="27"/>
      <c r="K137" s="27"/>
      <c r="L137" s="243">
        <f>L51*L10</f>
        <v>382386.67924528301</v>
      </c>
      <c r="M137" s="39"/>
      <c r="N137" s="39"/>
      <c r="O137" s="36"/>
      <c r="P137" s="65">
        <f>L137+L136</f>
        <v>423821.6446596327</v>
      </c>
      <c r="Q137" s="139"/>
    </row>
    <row r="138" spans="1:17" x14ac:dyDescent="0.3">
      <c r="A138" s="136"/>
      <c r="B138" s="147" t="s">
        <v>61</v>
      </c>
      <c r="C138" s="25"/>
      <c r="D138" s="26"/>
      <c r="E138" s="26"/>
      <c r="F138" s="27"/>
      <c r="G138" s="27"/>
      <c r="H138" s="27"/>
      <c r="I138" s="27"/>
      <c r="J138" s="27"/>
      <c r="K138" s="27"/>
      <c r="L138" s="243">
        <f>L52*L10</f>
        <v>102495.07756813416</v>
      </c>
      <c r="M138" s="39"/>
      <c r="N138" s="39"/>
      <c r="O138" s="36"/>
      <c r="P138" s="64">
        <f>P137/2</f>
        <v>211910.82232981635</v>
      </c>
      <c r="Q138" s="139"/>
    </row>
    <row r="139" spans="1:17" x14ac:dyDescent="0.3">
      <c r="A139" s="136"/>
      <c r="B139" s="147" t="s">
        <v>51</v>
      </c>
      <c r="C139" s="25"/>
      <c r="D139" s="26"/>
      <c r="E139" s="26"/>
      <c r="F139" s="27"/>
      <c r="G139" s="27"/>
      <c r="H139" s="27"/>
      <c r="I139" s="27"/>
      <c r="J139" s="27"/>
      <c r="K139" s="27"/>
      <c r="L139" s="243">
        <f>(L38*K10)*-1</f>
        <v>92234.233012342331</v>
      </c>
      <c r="M139" s="39"/>
      <c r="N139" s="39"/>
      <c r="O139" s="36"/>
      <c r="P139" s="71">
        <f>P135-P138</f>
        <v>33304.888250660151</v>
      </c>
      <c r="Q139" s="139"/>
    </row>
    <row r="140" spans="1:17" x14ac:dyDescent="0.3">
      <c r="A140" s="136"/>
      <c r="B140" s="254" t="s">
        <v>99</v>
      </c>
      <c r="C140" s="37"/>
      <c r="D140" s="38"/>
      <c r="E140" s="38"/>
      <c r="F140" s="39"/>
      <c r="G140" s="39"/>
      <c r="H140" s="39"/>
      <c r="I140" s="39"/>
      <c r="J140" s="39"/>
      <c r="K140" s="39"/>
      <c r="L140" s="244">
        <f>SUM(L135:L139)</f>
        <v>669037.35524010914</v>
      </c>
      <c r="M140" s="39"/>
      <c r="N140" s="39"/>
      <c r="O140" s="36"/>
      <c r="P140" s="60"/>
      <c r="Q140" s="139"/>
    </row>
    <row r="141" spans="1:17" x14ac:dyDescent="0.3">
      <c r="A141" s="136"/>
      <c r="B141" s="234" t="s">
        <v>100</v>
      </c>
      <c r="C141" s="12"/>
      <c r="D141" s="13"/>
      <c r="E141" s="13"/>
      <c r="F141" s="14"/>
      <c r="G141" s="14"/>
      <c r="H141" s="14"/>
      <c r="I141" s="14"/>
      <c r="J141" s="14"/>
      <c r="K141" s="14"/>
      <c r="L141" s="245">
        <f>L134-L140</f>
        <v>55372.767827564385</v>
      </c>
      <c r="M141" s="39"/>
      <c r="N141" s="39"/>
      <c r="O141" s="36"/>
      <c r="P141" s="60"/>
      <c r="Q141" s="139"/>
    </row>
    <row r="142" spans="1:17" x14ac:dyDescent="0.3">
      <c r="A142" s="136"/>
      <c r="B142" s="114"/>
      <c r="C142" s="114"/>
      <c r="D142" s="15"/>
      <c r="E142" s="15"/>
      <c r="F142" s="16"/>
      <c r="G142" s="16"/>
      <c r="H142" s="16"/>
      <c r="I142" s="16"/>
      <c r="J142" s="16"/>
      <c r="K142" s="16"/>
      <c r="L142" s="16"/>
      <c r="M142" s="41"/>
      <c r="N142" s="41"/>
      <c r="O142" s="36"/>
      <c r="P142" s="60"/>
      <c r="Q142" s="139"/>
    </row>
    <row r="143" spans="1:17" ht="21" x14ac:dyDescent="0.4">
      <c r="A143" s="129"/>
      <c r="B143" s="1157" t="s">
        <v>108</v>
      </c>
      <c r="C143" s="1157"/>
      <c r="D143" s="1157"/>
      <c r="E143" s="1157"/>
      <c r="F143" s="1157"/>
      <c r="G143" s="1157"/>
      <c r="H143" s="1157"/>
      <c r="I143" s="1157"/>
      <c r="J143" s="1157"/>
      <c r="K143" s="1157"/>
      <c r="L143" s="1157"/>
      <c r="M143" s="1157"/>
      <c r="N143" s="1157"/>
      <c r="O143" s="1157"/>
      <c r="P143" s="174"/>
      <c r="Q143" s="135"/>
    </row>
    <row r="144" spans="1:17" x14ac:dyDescent="0.3">
      <c r="A144" s="136"/>
      <c r="B144" s="118"/>
      <c r="C144" s="118"/>
      <c r="D144" s="118"/>
      <c r="E144" s="118"/>
      <c r="F144" s="118"/>
      <c r="G144" s="118"/>
      <c r="H144" s="118"/>
      <c r="I144" s="118"/>
      <c r="J144" s="118"/>
      <c r="K144" s="118"/>
      <c r="L144" s="118"/>
      <c r="M144" s="118"/>
      <c r="N144" s="118"/>
      <c r="O144" s="28"/>
      <c r="P144" s="60"/>
      <c r="Q144" s="139"/>
    </row>
    <row r="145" spans="1:20" x14ac:dyDescent="0.3">
      <c r="A145" s="136"/>
      <c r="B145" s="255"/>
      <c r="C145" s="151" t="s">
        <v>19</v>
      </c>
      <c r="D145" s="229" t="s">
        <v>20</v>
      </c>
      <c r="E145" s="230"/>
      <c r="F145" s="1147" t="s">
        <v>21</v>
      </c>
      <c r="G145" s="1148"/>
      <c r="H145" s="1148"/>
      <c r="I145" s="1147" t="s">
        <v>22</v>
      </c>
      <c r="J145" s="1148"/>
      <c r="K145" s="1148"/>
      <c r="L145" s="200" t="s">
        <v>23</v>
      </c>
      <c r="M145" s="11"/>
      <c r="N145" s="11"/>
      <c r="O145" s="21"/>
      <c r="P145" s="60"/>
      <c r="Q145" s="139"/>
    </row>
    <row r="146" spans="1:20" x14ac:dyDescent="0.3">
      <c r="A146" s="136"/>
      <c r="B146" s="149"/>
      <c r="C146" s="163" t="s">
        <v>26</v>
      </c>
      <c r="D146" s="4" t="s">
        <v>26</v>
      </c>
      <c r="E146" s="5"/>
      <c r="F146" s="152"/>
      <c r="G146" s="151" t="s">
        <v>27</v>
      </c>
      <c r="H146" s="185" t="s">
        <v>27</v>
      </c>
      <c r="I146" s="151"/>
      <c r="J146" s="151"/>
      <c r="K146" s="151"/>
      <c r="L146" s="201" t="s">
        <v>28</v>
      </c>
      <c r="M146" s="17"/>
      <c r="N146" s="3"/>
      <c r="O146" s="21"/>
      <c r="P146" s="60"/>
      <c r="Q146" s="139"/>
    </row>
    <row r="147" spans="1:20" x14ac:dyDescent="0.3">
      <c r="A147" s="136"/>
      <c r="B147" s="149" t="s">
        <v>30</v>
      </c>
      <c r="C147" s="58" t="s">
        <v>31</v>
      </c>
      <c r="D147" s="8"/>
      <c r="E147" s="9"/>
      <c r="F147" s="191" t="s">
        <v>29</v>
      </c>
      <c r="G147" s="192" t="s">
        <v>32</v>
      </c>
      <c r="H147" s="193" t="s">
        <v>33</v>
      </c>
      <c r="I147" s="196" t="s">
        <v>34</v>
      </c>
      <c r="J147" s="196" t="s">
        <v>35</v>
      </c>
      <c r="K147" s="196" t="s">
        <v>36</v>
      </c>
      <c r="L147" s="260" t="s">
        <v>29</v>
      </c>
      <c r="M147" s="164" t="s">
        <v>32</v>
      </c>
      <c r="N147" s="165" t="s">
        <v>33</v>
      </c>
      <c r="O147" s="22" t="s">
        <v>37</v>
      </c>
      <c r="P147" s="60"/>
      <c r="Q147" s="139"/>
    </row>
    <row r="148" spans="1:20" x14ac:dyDescent="0.3">
      <c r="A148" s="136"/>
      <c r="B148" s="233" t="s">
        <v>38</v>
      </c>
      <c r="C148" s="116">
        <v>8</v>
      </c>
      <c r="D148" s="6">
        <v>12</v>
      </c>
      <c r="E148" s="6"/>
      <c r="F148" s="204">
        <f>(C148*D148*260)</f>
        <v>24960</v>
      </c>
      <c r="G148" s="7">
        <f>F148*1.1</f>
        <v>27456.000000000004</v>
      </c>
      <c r="H148" s="206">
        <f>F148*1.2</f>
        <v>29952</v>
      </c>
      <c r="I148" s="154">
        <f>F148*5</f>
        <v>124800</v>
      </c>
      <c r="J148" s="7">
        <f>F148*5.5</f>
        <v>137280</v>
      </c>
      <c r="K148" s="7">
        <f>F148*6</f>
        <v>149760</v>
      </c>
      <c r="L148" s="249">
        <f>F148*65</f>
        <v>1622400</v>
      </c>
      <c r="M148" s="18">
        <f>G148*65</f>
        <v>1784640.0000000002</v>
      </c>
      <c r="N148" s="10">
        <f>H148*6</f>
        <v>179712</v>
      </c>
      <c r="O148" s="28"/>
      <c r="P148" s="60"/>
      <c r="Q148" s="139"/>
    </row>
    <row r="149" spans="1:20" x14ac:dyDescent="0.3">
      <c r="A149" s="136"/>
      <c r="B149" s="149" t="s">
        <v>39</v>
      </c>
      <c r="C149" s="58" t="s">
        <v>31</v>
      </c>
      <c r="D149" s="6"/>
      <c r="E149" s="6"/>
      <c r="F149" s="204"/>
      <c r="G149" s="7"/>
      <c r="H149" s="206"/>
      <c r="I149" s="154"/>
      <c r="J149" s="7"/>
      <c r="K149" s="7"/>
      <c r="L149" s="249"/>
      <c r="M149" s="18"/>
      <c r="N149" s="10"/>
      <c r="O149" s="28"/>
      <c r="P149" s="60"/>
      <c r="Q149" s="139"/>
    </row>
    <row r="150" spans="1:20" x14ac:dyDescent="0.3">
      <c r="A150" s="136"/>
      <c r="B150" s="233" t="s">
        <v>40</v>
      </c>
      <c r="C150" s="116">
        <v>6</v>
      </c>
      <c r="D150" s="6">
        <f>C9</f>
        <v>9</v>
      </c>
      <c r="E150" s="6"/>
      <c r="F150" s="204">
        <f>(C150*D150*260)</f>
        <v>14040</v>
      </c>
      <c r="G150" s="7">
        <f>F150*1.1</f>
        <v>15444.000000000002</v>
      </c>
      <c r="H150" s="206">
        <f>F150*1.2</f>
        <v>16848</v>
      </c>
      <c r="I150" s="154">
        <f>F150*3</f>
        <v>42120</v>
      </c>
      <c r="J150" s="7">
        <f>F150*4</f>
        <v>56160</v>
      </c>
      <c r="K150" s="7">
        <f>F150*5</f>
        <v>70200</v>
      </c>
      <c r="L150" s="249">
        <f>F150*65</f>
        <v>912600</v>
      </c>
      <c r="M150" s="18">
        <f>G150*65</f>
        <v>1003860.0000000001</v>
      </c>
      <c r="N150" s="10">
        <f>H150*65</f>
        <v>1095120</v>
      </c>
      <c r="O150" s="28"/>
      <c r="P150" s="60"/>
      <c r="Q150" s="139"/>
      <c r="R150">
        <f>24536</f>
        <v>24536</v>
      </c>
      <c r="S150">
        <f>R150/R153</f>
        <v>0.21115500133391854</v>
      </c>
      <c r="T150" t="s">
        <v>109</v>
      </c>
    </row>
    <row r="151" spans="1:20" x14ac:dyDescent="0.3">
      <c r="A151" s="136"/>
      <c r="B151" s="149" t="s">
        <v>43</v>
      </c>
      <c r="C151" s="116"/>
      <c r="D151" s="6"/>
      <c r="E151" s="6"/>
      <c r="F151" s="204"/>
      <c r="G151" s="7"/>
      <c r="H151" s="206"/>
      <c r="I151" s="154"/>
      <c r="J151" s="7">
        <f>L151/10</f>
        <v>25000</v>
      </c>
      <c r="K151" s="7"/>
      <c r="L151" s="249">
        <v>250000</v>
      </c>
      <c r="M151" s="18"/>
      <c r="N151" s="10"/>
      <c r="O151" s="28"/>
      <c r="P151" s="60"/>
      <c r="Q151" s="139"/>
    </row>
    <row r="152" spans="1:20" x14ac:dyDescent="0.3">
      <c r="A152" s="136"/>
      <c r="B152" s="257" t="s">
        <v>110</v>
      </c>
      <c r="C152" s="114" t="s">
        <v>42</v>
      </c>
      <c r="D152" s="6"/>
      <c r="E152" s="6"/>
      <c r="F152" s="204"/>
      <c r="G152" s="7"/>
      <c r="H152" s="206"/>
      <c r="I152" s="154"/>
      <c r="J152" s="7"/>
      <c r="K152" s="7"/>
      <c r="L152" s="249"/>
      <c r="M152" s="18"/>
      <c r="N152" s="10"/>
      <c r="O152" s="28"/>
      <c r="P152" s="60"/>
      <c r="Q152" s="139"/>
      <c r="R152">
        <v>91663</v>
      </c>
      <c r="S152">
        <f>R152/R153</f>
        <v>0.78884499866608149</v>
      </c>
      <c r="T152" t="s">
        <v>111</v>
      </c>
    </row>
    <row r="153" spans="1:20" x14ac:dyDescent="0.3">
      <c r="A153" s="136"/>
      <c r="B153" s="233" t="s">
        <v>95</v>
      </c>
      <c r="C153" s="116">
        <v>8</v>
      </c>
      <c r="D153" s="45">
        <v>2</v>
      </c>
      <c r="E153" s="6"/>
      <c r="F153" s="204">
        <f>(C153*D153*52)</f>
        <v>832</v>
      </c>
      <c r="G153" s="7">
        <f>F153*1.1</f>
        <v>915.2</v>
      </c>
      <c r="H153" s="206">
        <f>F153*1.2</f>
        <v>998.4</v>
      </c>
      <c r="I153" s="154">
        <f>F153*1.5</f>
        <v>1248</v>
      </c>
      <c r="J153" s="154">
        <f>G153*1.5</f>
        <v>1372.8000000000002</v>
      </c>
      <c r="K153" s="154">
        <f>H153*1.5</f>
        <v>1497.6</v>
      </c>
      <c r="L153" s="249">
        <f>F153*65</f>
        <v>54080</v>
      </c>
      <c r="M153" s="18">
        <f>G153*65</f>
        <v>59488</v>
      </c>
      <c r="N153" s="10">
        <f>H153*65</f>
        <v>64896</v>
      </c>
      <c r="O153" s="28"/>
      <c r="P153" s="60"/>
      <c r="Q153" s="139"/>
      <c r="R153">
        <f>SUM(R150:R152)</f>
        <v>116199</v>
      </c>
      <c r="S153">
        <f>SUM(S150:S152)</f>
        <v>1</v>
      </c>
    </row>
    <row r="154" spans="1:20" x14ac:dyDescent="0.3">
      <c r="A154" s="136"/>
      <c r="B154" s="233" t="s">
        <v>96</v>
      </c>
      <c r="C154" s="116"/>
      <c r="D154" s="45"/>
      <c r="E154" s="6"/>
      <c r="F154" s="204"/>
      <c r="G154" s="7"/>
      <c r="H154" s="206"/>
      <c r="I154" s="154"/>
      <c r="J154" s="154"/>
      <c r="K154" s="154"/>
      <c r="L154" s="250">
        <f>I9</f>
        <v>209935.58213469124</v>
      </c>
      <c r="M154" s="18">
        <f>L154*1.1</f>
        <v>230929.14034816038</v>
      </c>
      <c r="N154" s="10">
        <f>L154*1.2</f>
        <v>251922.69856162948</v>
      </c>
      <c r="O154" s="28"/>
      <c r="P154" s="60">
        <v>127061</v>
      </c>
      <c r="Q154" s="139"/>
      <c r="R154" s="120"/>
    </row>
    <row r="155" spans="1:20" x14ac:dyDescent="0.3">
      <c r="A155" s="136"/>
      <c r="B155" s="252" t="s">
        <v>92</v>
      </c>
      <c r="C155" s="32"/>
      <c r="D155" s="33"/>
      <c r="E155" s="33"/>
      <c r="F155" s="205">
        <f>SUM(F148:F153)</f>
        <v>39832</v>
      </c>
      <c r="G155" s="34">
        <f>SUM(G148:G153)</f>
        <v>43815.200000000004</v>
      </c>
      <c r="H155" s="207">
        <f>SUM(H148:H153)</f>
        <v>47798.400000000001</v>
      </c>
      <c r="I155" s="34">
        <f t="shared" ref="I155:N155" si="8">SUM(I148:I154)</f>
        <v>168168</v>
      </c>
      <c r="J155" s="34">
        <f t="shared" si="8"/>
        <v>219812.8</v>
      </c>
      <c r="K155" s="34">
        <f t="shared" si="8"/>
        <v>221457.6</v>
      </c>
      <c r="L155" s="246">
        <f>SUM(L148:L154)</f>
        <v>3049015.5821346911</v>
      </c>
      <c r="M155" s="34">
        <f t="shared" si="8"/>
        <v>3078917.1403481606</v>
      </c>
      <c r="N155" s="35">
        <f t="shared" si="8"/>
        <v>1591650.6985616295</v>
      </c>
      <c r="O155" s="36">
        <f>N155-L155</f>
        <v>-1457364.8835730616</v>
      </c>
      <c r="P155" s="60"/>
      <c r="Q155" s="139"/>
      <c r="R155" s="258"/>
    </row>
    <row r="156" spans="1:20" x14ac:dyDescent="0.3">
      <c r="A156" s="136"/>
      <c r="B156" s="147" t="s">
        <v>56</v>
      </c>
      <c r="C156" s="25"/>
      <c r="D156" s="26"/>
      <c r="E156" s="26"/>
      <c r="F156" s="27"/>
      <c r="G156" s="27"/>
      <c r="H156" s="27"/>
      <c r="I156" s="27"/>
      <c r="J156" s="27"/>
      <c r="K156" s="27"/>
      <c r="L156" s="243">
        <f>J155*C16</f>
        <v>219812.8</v>
      </c>
      <c r="M156" s="39"/>
      <c r="N156" s="39"/>
      <c r="O156" s="36"/>
      <c r="P156" s="65">
        <f>L156+L159+L160</f>
        <v>1013231.1611949201</v>
      </c>
      <c r="Q156" s="139"/>
    </row>
    <row r="157" spans="1:20" x14ac:dyDescent="0.3">
      <c r="A157" s="136"/>
      <c r="B157" s="253" t="str">
        <f>B36</f>
        <v>Federal Grant Carbon Reduction Grant</v>
      </c>
      <c r="C157" s="74" t="s">
        <v>97</v>
      </c>
      <c r="D157" s="75"/>
      <c r="E157" s="75"/>
      <c r="F157" s="76"/>
      <c r="G157" s="76"/>
      <c r="H157" s="76"/>
      <c r="I157" s="76"/>
      <c r="J157" s="76"/>
      <c r="K157" s="76"/>
      <c r="L157" s="242">
        <f>(K9*L36)*-1</f>
        <v>168825.44418825442</v>
      </c>
      <c r="M157" s="39"/>
      <c r="N157" s="39"/>
      <c r="O157" s="36"/>
      <c r="P157" s="64"/>
      <c r="Q157" s="139"/>
    </row>
    <row r="158" spans="1:20" x14ac:dyDescent="0.3">
      <c r="A158" s="136"/>
      <c r="B158" s="147" t="s">
        <v>98</v>
      </c>
      <c r="C158" s="25"/>
      <c r="D158" s="26"/>
      <c r="E158" s="26"/>
      <c r="F158" s="27"/>
      <c r="G158" s="27"/>
      <c r="H158" s="27"/>
      <c r="I158" s="27"/>
      <c r="J158" s="27"/>
      <c r="K158" s="27"/>
      <c r="L158" s="243">
        <f>L51*L9</f>
        <v>1558022.3207547171</v>
      </c>
      <c r="M158" s="39"/>
      <c r="N158" s="39"/>
      <c r="O158" s="36"/>
      <c r="P158" s="65">
        <f>L158+L157</f>
        <v>1726847.7649429715</v>
      </c>
      <c r="Q158" s="139"/>
    </row>
    <row r="159" spans="1:20" x14ac:dyDescent="0.3">
      <c r="A159" s="136"/>
      <c r="B159" s="147" t="s">
        <v>61</v>
      </c>
      <c r="C159" s="25"/>
      <c r="D159" s="26"/>
      <c r="E159" s="26"/>
      <c r="F159" s="27"/>
      <c r="G159" s="27"/>
      <c r="H159" s="27"/>
      <c r="I159" s="27"/>
      <c r="J159" s="27"/>
      <c r="K159" s="27"/>
      <c r="L159" s="243">
        <f>L52*L9</f>
        <v>417612.92243186582</v>
      </c>
      <c r="M159" s="39"/>
      <c r="N159" s="39"/>
      <c r="O159" s="36"/>
      <c r="P159" s="64">
        <f>P158/2</f>
        <v>863423.88247148576</v>
      </c>
      <c r="Q159" s="139"/>
      <c r="R159" s="121"/>
    </row>
    <row r="160" spans="1:20" x14ac:dyDescent="0.3">
      <c r="A160" s="136"/>
      <c r="B160" s="147" t="s">
        <v>51</v>
      </c>
      <c r="C160" s="25"/>
      <c r="D160" s="26"/>
      <c r="E160" s="26"/>
      <c r="F160" s="27"/>
      <c r="G160" s="27"/>
      <c r="H160" s="27"/>
      <c r="I160" s="27"/>
      <c r="J160" s="27"/>
      <c r="K160" s="27"/>
      <c r="L160" s="243">
        <f>(L38*K9)*-1</f>
        <v>375805.43876305438</v>
      </c>
      <c r="M160" s="39"/>
      <c r="N160" s="39"/>
      <c r="O160" s="36"/>
      <c r="P160" s="64">
        <f>P156-P159</f>
        <v>149807.27872343431</v>
      </c>
      <c r="Q160" s="139"/>
    </row>
    <row r="161" spans="1:17" x14ac:dyDescent="0.3">
      <c r="A161" s="136"/>
      <c r="B161" s="254" t="s">
        <v>99</v>
      </c>
      <c r="C161" s="37"/>
      <c r="D161" s="38"/>
      <c r="E161" s="38"/>
      <c r="F161" s="39"/>
      <c r="G161" s="39"/>
      <c r="H161" s="39"/>
      <c r="I161" s="39"/>
      <c r="J161" s="39"/>
      <c r="K161" s="39"/>
      <c r="L161" s="244">
        <f>SUM(L156:L160)</f>
        <v>2740078.9261378921</v>
      </c>
      <c r="M161" s="39"/>
      <c r="N161" s="39"/>
      <c r="O161" s="36"/>
      <c r="P161" s="60"/>
      <c r="Q161" s="139"/>
    </row>
    <row r="162" spans="1:17" x14ac:dyDescent="0.3">
      <c r="A162" s="136"/>
      <c r="B162" s="234" t="s">
        <v>112</v>
      </c>
      <c r="C162" s="12"/>
      <c r="D162" s="13"/>
      <c r="E162" s="13"/>
      <c r="F162" s="14"/>
      <c r="G162" s="14"/>
      <c r="H162" s="14"/>
      <c r="I162" s="14"/>
      <c r="J162" s="14"/>
      <c r="K162" s="14"/>
      <c r="L162" s="251">
        <f>L155-L161</f>
        <v>308936.655996799</v>
      </c>
      <c r="M162" s="39"/>
      <c r="N162" s="39"/>
      <c r="O162" s="36"/>
      <c r="P162" s="73"/>
      <c r="Q162" s="139"/>
    </row>
    <row r="163" spans="1:17" x14ac:dyDescent="0.3">
      <c r="A163" s="142"/>
      <c r="B163" s="143"/>
      <c r="C163" s="143"/>
      <c r="D163" s="144"/>
      <c r="E163" s="145"/>
      <c r="F163" s="143"/>
      <c r="G163" s="143"/>
      <c r="H163" s="143"/>
      <c r="I163" s="143"/>
      <c r="J163" s="143"/>
      <c r="K163" s="143"/>
      <c r="L163" s="145"/>
      <c r="M163" s="145"/>
      <c r="N163" s="145"/>
      <c r="O163" s="143"/>
      <c r="P163" s="143"/>
      <c r="Q163" s="146"/>
    </row>
    <row r="167" spans="1:17" x14ac:dyDescent="0.3">
      <c r="C167" s="1149" t="s">
        <v>113</v>
      </c>
      <c r="D167" s="1149"/>
    </row>
    <row r="168" spans="1:17" x14ac:dyDescent="0.3">
      <c r="C168" t="s">
        <v>103</v>
      </c>
      <c r="D168" s="262" t="e">
        <f>#REF!</f>
        <v>#REF!</v>
      </c>
      <c r="E168" s="264" t="e">
        <f>D168/$D$172</f>
        <v>#REF!</v>
      </c>
    </row>
    <row r="169" spans="1:17" x14ac:dyDescent="0.3">
      <c r="C169" t="s">
        <v>111</v>
      </c>
      <c r="D169" s="262" t="e">
        <f>#REF!</f>
        <v>#REF!</v>
      </c>
      <c r="E169" s="264" t="e">
        <f>D169/$D$172</f>
        <v>#REF!</v>
      </c>
    </row>
    <row r="170" spans="1:17" x14ac:dyDescent="0.3">
      <c r="C170" t="s">
        <v>114</v>
      </c>
      <c r="D170" s="262" t="e">
        <f>#REF!</f>
        <v>#REF!</v>
      </c>
      <c r="E170" s="264" t="e">
        <f>D170/$D$172</f>
        <v>#REF!</v>
      </c>
    </row>
    <row r="171" spans="1:17" x14ac:dyDescent="0.3">
      <c r="C171" t="s">
        <v>77</v>
      </c>
      <c r="D171" s="262" t="e">
        <f>#REF!</f>
        <v>#REF!</v>
      </c>
      <c r="E171" s="264" t="e">
        <f>D171/$D$172</f>
        <v>#REF!</v>
      </c>
    </row>
    <row r="172" spans="1:17" x14ac:dyDescent="0.3">
      <c r="C172" t="s">
        <v>92</v>
      </c>
      <c r="D172" s="263" t="e">
        <f>SUM(D168:D171)</f>
        <v>#REF!</v>
      </c>
    </row>
  </sheetData>
  <mergeCells count="29">
    <mergeCell ref="W32:W34"/>
    <mergeCell ref="V32:V34"/>
    <mergeCell ref="U32:U34"/>
    <mergeCell ref="T32:T34"/>
    <mergeCell ref="S32:S34"/>
    <mergeCell ref="C167:D167"/>
    <mergeCell ref="B7:I7"/>
    <mergeCell ref="S7:X7"/>
    <mergeCell ref="X32:X34"/>
    <mergeCell ref="B122:O122"/>
    <mergeCell ref="F124:H124"/>
    <mergeCell ref="I124:K124"/>
    <mergeCell ref="B143:O143"/>
    <mergeCell ref="F145:H145"/>
    <mergeCell ref="I145:K145"/>
    <mergeCell ref="B79:O79"/>
    <mergeCell ref="F81:H81"/>
    <mergeCell ref="I81:K81"/>
    <mergeCell ref="B100:O100"/>
    <mergeCell ref="F102:H102"/>
    <mergeCell ref="I102:K102"/>
    <mergeCell ref="F60:H60"/>
    <mergeCell ref="I60:K60"/>
    <mergeCell ref="S46:T46"/>
    <mergeCell ref="B18:O18"/>
    <mergeCell ref="B19:O19"/>
    <mergeCell ref="F20:H20"/>
    <mergeCell ref="I20:K20"/>
    <mergeCell ref="B58:O58"/>
  </mergeCells>
  <pageMargins left="0.7" right="0.7" top="0.75" bottom="0.75" header="0.3" footer="0.3"/>
  <pageSetup paperSize="17" scale="64" fitToHeight="0" orientation="portrait"/>
  <rowBreaks count="2" manualBreakCount="2">
    <brk id="57" max="14" man="1"/>
    <brk id="121" max="14"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DE50B-6529-40FB-92E9-57E10610F849}">
  <dimension ref="A1:Q13"/>
  <sheetViews>
    <sheetView zoomScale="115" workbookViewId="0">
      <selection activeCell="C14" sqref="C14"/>
    </sheetView>
  </sheetViews>
  <sheetFormatPr defaultRowHeight="14.4" x14ac:dyDescent="0.3"/>
  <sheetData>
    <row r="1" spans="1:17" x14ac:dyDescent="0.3">
      <c r="A1" s="738" t="s">
        <v>463</v>
      </c>
      <c r="B1" s="385"/>
      <c r="C1" s="385"/>
    </row>
    <row r="2" spans="1:17" x14ac:dyDescent="0.3">
      <c r="A2" s="738" t="s">
        <v>464</v>
      </c>
    </row>
    <row r="4" spans="1:17" x14ac:dyDescent="0.3">
      <c r="A4" s="738">
        <v>1</v>
      </c>
      <c r="B4" s="738" t="s">
        <v>1202</v>
      </c>
    </row>
    <row r="5" spans="1:17" x14ac:dyDescent="0.3">
      <c r="A5" s="738">
        <v>2</v>
      </c>
      <c r="B5" s="738" t="s">
        <v>1203</v>
      </c>
      <c r="C5" s="738"/>
      <c r="D5" s="738"/>
      <c r="E5" s="738"/>
      <c r="F5" s="738"/>
      <c r="G5" s="738"/>
      <c r="H5" s="738"/>
      <c r="I5" s="738"/>
      <c r="J5" s="739"/>
      <c r="K5" s="739"/>
      <c r="L5" s="739"/>
      <c r="M5" s="739"/>
      <c r="N5" s="739"/>
      <c r="O5" s="739"/>
      <c r="P5" s="739"/>
      <c r="Q5" s="739"/>
    </row>
    <row r="6" spans="1:17" x14ac:dyDescent="0.3">
      <c r="A6" s="738">
        <v>3</v>
      </c>
      <c r="B6" s="738" t="s">
        <v>1222</v>
      </c>
      <c r="C6" s="738"/>
      <c r="D6" s="738"/>
      <c r="E6" s="738"/>
      <c r="F6" s="738"/>
      <c r="G6" s="738"/>
      <c r="H6" s="738"/>
      <c r="I6" s="738"/>
      <c r="J6" s="739"/>
      <c r="K6" s="739"/>
      <c r="L6" s="739"/>
      <c r="M6" s="739"/>
      <c r="N6" s="739"/>
      <c r="O6" s="739"/>
      <c r="P6" s="739"/>
      <c r="Q6" s="739"/>
    </row>
    <row r="7" spans="1:17" x14ac:dyDescent="0.3">
      <c r="A7" s="738">
        <v>4</v>
      </c>
      <c r="B7" s="738" t="s">
        <v>1204</v>
      </c>
      <c r="C7" s="738"/>
      <c r="D7" s="738"/>
      <c r="E7" s="738"/>
      <c r="F7" s="738"/>
      <c r="G7" s="738"/>
      <c r="H7" s="738"/>
      <c r="I7" s="738"/>
      <c r="J7" s="739"/>
      <c r="K7" s="739"/>
      <c r="L7" s="739"/>
      <c r="M7" s="739"/>
      <c r="N7" s="739"/>
      <c r="O7" s="739"/>
      <c r="P7" s="739"/>
      <c r="Q7" s="739"/>
    </row>
    <row r="8" spans="1:17" x14ac:dyDescent="0.3">
      <c r="A8" s="738">
        <v>5</v>
      </c>
      <c r="B8" s="738" t="s">
        <v>1223</v>
      </c>
      <c r="C8" s="738"/>
      <c r="D8" s="738"/>
      <c r="E8" s="738"/>
      <c r="F8" s="738"/>
      <c r="G8" s="738"/>
      <c r="H8" s="738"/>
      <c r="I8" s="738"/>
      <c r="J8" s="739"/>
      <c r="K8" s="739"/>
      <c r="L8" s="739"/>
      <c r="M8" s="739"/>
      <c r="N8" s="739"/>
      <c r="O8" s="739"/>
      <c r="P8" s="739"/>
      <c r="Q8" s="739"/>
    </row>
    <row r="9" spans="1:17" x14ac:dyDescent="0.3">
      <c r="A9" s="738">
        <v>6</v>
      </c>
      <c r="B9" s="738" t="s">
        <v>1200</v>
      </c>
    </row>
    <row r="10" spans="1:17" x14ac:dyDescent="0.3">
      <c r="A10" s="738">
        <v>7</v>
      </c>
      <c r="B10" s="738" t="s">
        <v>1201</v>
      </c>
    </row>
    <row r="11" spans="1:17" x14ac:dyDescent="0.3">
      <c r="A11" s="738">
        <v>8</v>
      </c>
      <c r="B11" s="738" t="s">
        <v>1243</v>
      </c>
    </row>
    <row r="12" spans="1:17" x14ac:dyDescent="0.3">
      <c r="A12" s="738">
        <v>9</v>
      </c>
      <c r="B12" s="738" t="s">
        <v>1224</v>
      </c>
    </row>
    <row r="13" spans="1:17" x14ac:dyDescent="0.3">
      <c r="A13" s="738">
        <v>10</v>
      </c>
      <c r="B13" s="738" t="s">
        <v>1242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F4B11-89DC-48C8-8C85-5F45D5B63C93}">
  <dimension ref="A1:V28"/>
  <sheetViews>
    <sheetView zoomScale="79" zoomScaleNormal="120" workbookViewId="0">
      <selection activeCell="O30" sqref="O30"/>
    </sheetView>
  </sheetViews>
  <sheetFormatPr defaultRowHeight="14.4" x14ac:dyDescent="0.3"/>
  <cols>
    <col min="18" max="18" width="11.109375" customWidth="1"/>
    <col min="19" max="19" width="9.88671875" bestFit="1" customWidth="1"/>
    <col min="20" max="20" width="13.6640625" customWidth="1"/>
  </cols>
  <sheetData>
    <row r="1" spans="1:22" x14ac:dyDescent="0.3">
      <c r="A1" s="385" t="s">
        <v>1236</v>
      </c>
      <c r="B1" s="385"/>
      <c r="C1" s="385"/>
      <c r="D1" s="385"/>
      <c r="E1" s="385"/>
      <c r="F1" s="385"/>
      <c r="G1" s="385"/>
      <c r="H1" s="385"/>
    </row>
    <row r="7" spans="1:22" x14ac:dyDescent="0.3">
      <c r="S7" s="90"/>
      <c r="T7" s="83"/>
    </row>
    <row r="8" spans="1:22" x14ac:dyDescent="0.3">
      <c r="S8" s="854" t="s">
        <v>1138</v>
      </c>
      <c r="T8" s="853"/>
    </row>
    <row r="9" spans="1:22" x14ac:dyDescent="0.3">
      <c r="S9" s="857" t="s">
        <v>449</v>
      </c>
      <c r="T9" s="854" t="s">
        <v>450</v>
      </c>
    </row>
    <row r="10" spans="1:22" ht="15" thickBot="1" x14ac:dyDescent="0.35">
      <c r="S10" s="851">
        <f>6131022/28294</f>
        <v>216.68982823213403</v>
      </c>
      <c r="T10" s="852">
        <v>12</v>
      </c>
      <c r="U10" s="854" t="s">
        <v>331</v>
      </c>
      <c r="V10" s="853"/>
    </row>
    <row r="11" spans="1:22" ht="17.25" customHeight="1" x14ac:dyDescent="0.3">
      <c r="S11" s="843">
        <f>6532640/66679</f>
        <v>97.971475277073736</v>
      </c>
      <c r="T11" s="844">
        <v>27</v>
      </c>
      <c r="U11" s="854" t="s">
        <v>458</v>
      </c>
      <c r="V11" s="853"/>
    </row>
    <row r="12" spans="1:22" ht="16.95" customHeight="1" x14ac:dyDescent="0.3">
      <c r="S12" s="845">
        <f>5187138/52795</f>
        <v>98.250554029737671</v>
      </c>
      <c r="T12" s="846">
        <v>37</v>
      </c>
      <c r="U12" s="854" t="s">
        <v>451</v>
      </c>
      <c r="V12" s="853"/>
    </row>
    <row r="13" spans="1:22" ht="16.95" customHeight="1" x14ac:dyDescent="0.3">
      <c r="S13" s="847">
        <f>5603319/57175</f>
        <v>98.002955837341489</v>
      </c>
      <c r="T13" s="848">
        <v>28</v>
      </c>
      <c r="U13" s="854" t="s">
        <v>452</v>
      </c>
      <c r="V13" s="853"/>
    </row>
    <row r="14" spans="1:22" x14ac:dyDescent="0.3">
      <c r="S14" s="847">
        <f>3558126/40400</f>
        <v>88.072425742574254</v>
      </c>
      <c r="T14" s="848">
        <v>32</v>
      </c>
      <c r="U14" s="854" t="s">
        <v>459</v>
      </c>
      <c r="V14" s="853"/>
    </row>
    <row r="15" spans="1:22" x14ac:dyDescent="0.3">
      <c r="S15" s="847">
        <f>4672736/41060</f>
        <v>113.80263029712616</v>
      </c>
      <c r="T15" s="848">
        <v>22</v>
      </c>
      <c r="U15" s="854" t="s">
        <v>456</v>
      </c>
      <c r="V15" s="853"/>
    </row>
    <row r="16" spans="1:22" ht="19.2" customHeight="1" x14ac:dyDescent="0.3">
      <c r="S16" s="847">
        <f>11491801/72927</f>
        <v>157.57951101786719</v>
      </c>
      <c r="T16" s="848">
        <v>21</v>
      </c>
      <c r="U16" s="854" t="s">
        <v>453</v>
      </c>
      <c r="V16" s="853"/>
    </row>
    <row r="17" spans="1:22" x14ac:dyDescent="0.3">
      <c r="S17" s="847">
        <f>9677785/55759</f>
        <v>173.56453666672644</v>
      </c>
      <c r="T17" s="848">
        <v>31</v>
      </c>
      <c r="U17" s="854" t="s">
        <v>455</v>
      </c>
      <c r="V17" s="853"/>
    </row>
    <row r="18" spans="1:22" ht="15.45" customHeight="1" x14ac:dyDescent="0.3">
      <c r="S18" s="847">
        <f>11504947/79931</f>
        <v>143.93598228472058</v>
      </c>
      <c r="T18" s="848">
        <v>22</v>
      </c>
      <c r="U18" s="854" t="s">
        <v>454</v>
      </c>
      <c r="V18" s="853"/>
    </row>
    <row r="19" spans="1:22" x14ac:dyDescent="0.3">
      <c r="S19" s="847">
        <f>11400000/74899</f>
        <v>152.20496935873643</v>
      </c>
      <c r="T19" s="848">
        <v>33</v>
      </c>
      <c r="U19" s="854" t="s">
        <v>457</v>
      </c>
      <c r="V19" s="853"/>
    </row>
    <row r="20" spans="1:22" x14ac:dyDescent="0.3">
      <c r="S20" s="847"/>
      <c r="T20" s="848"/>
      <c r="U20" s="853"/>
      <c r="V20" s="853"/>
    </row>
    <row r="21" spans="1:22" ht="15" thickBot="1" x14ac:dyDescent="0.35">
      <c r="S21" s="849">
        <f>46190159/246091</f>
        <v>187.69544193001775</v>
      </c>
      <c r="T21" s="850">
        <v>98</v>
      </c>
      <c r="U21" s="854" t="s">
        <v>460</v>
      </c>
      <c r="V21" s="842"/>
    </row>
    <row r="22" spans="1:22" x14ac:dyDescent="0.3">
      <c r="R22" s="853"/>
      <c r="S22" s="855">
        <f>AVERAGE(S11:S21)</f>
        <v>131.10804824419216</v>
      </c>
      <c r="T22" s="858" t="s">
        <v>1135</v>
      </c>
      <c r="U22" s="853"/>
      <c r="V22" s="853"/>
    </row>
    <row r="23" spans="1:22" ht="15" thickBot="1" x14ac:dyDescent="0.35">
      <c r="R23" s="856">
        <v>0.34</v>
      </c>
      <c r="S23" s="855">
        <f>S22*R23</f>
        <v>44.576736403025336</v>
      </c>
      <c r="T23" s="854" t="s">
        <v>1136</v>
      </c>
      <c r="U23" s="853"/>
      <c r="V23" s="853"/>
    </row>
    <row r="24" spans="1:22" ht="15.6" thickTop="1" thickBot="1" x14ac:dyDescent="0.35">
      <c r="R24" s="856"/>
      <c r="S24" s="859">
        <f>SUM(S22:S23)</f>
        <v>175.6847846472175</v>
      </c>
      <c r="T24" s="860" t="s">
        <v>1137</v>
      </c>
      <c r="U24" s="853"/>
      <c r="V24" s="853"/>
    </row>
    <row r="25" spans="1:22" ht="16.2" thickTop="1" x14ac:dyDescent="0.3">
      <c r="A25" s="1162" t="s">
        <v>1235</v>
      </c>
      <c r="B25" s="1163"/>
      <c r="C25" s="1163"/>
      <c r="D25" s="1163"/>
      <c r="E25" s="1163"/>
      <c r="F25" s="1163"/>
      <c r="G25" s="1163"/>
      <c r="H25" s="1163"/>
      <c r="I25" s="1163"/>
      <c r="J25" s="1163"/>
      <c r="R25" s="856"/>
      <c r="S25" s="857" t="s">
        <v>1128</v>
      </c>
      <c r="T25" s="857" t="s">
        <v>1129</v>
      </c>
      <c r="U25" s="853"/>
      <c r="V25" s="853"/>
    </row>
    <row r="26" spans="1:22" ht="15.6" x14ac:dyDescent="0.3">
      <c r="A26" s="1162" t="s">
        <v>1207</v>
      </c>
      <c r="B26" s="1163"/>
      <c r="C26" s="1163"/>
      <c r="D26" s="1163"/>
      <c r="E26" s="1163"/>
      <c r="F26" s="1163"/>
      <c r="G26" s="1163"/>
      <c r="H26" s="1163"/>
      <c r="I26" s="1163"/>
      <c r="J26" s="1163"/>
      <c r="R26" s="856"/>
      <c r="S26" s="855">
        <f>(S11+S12+S13+S15+S16+S17+S18+S19)/8</f>
        <v>129.41407684616621</v>
      </c>
      <c r="T26" s="855">
        <f>(S11+S12+S15+S17+S18+S21)/6</f>
        <v>135.87010341423374</v>
      </c>
      <c r="U26" s="853"/>
      <c r="V26" s="853"/>
    </row>
    <row r="27" spans="1:22" x14ac:dyDescent="0.3">
      <c r="R27" s="856">
        <v>0.28899999999999998</v>
      </c>
      <c r="S27" s="855">
        <f>S26*R27</f>
        <v>37.400668208542029</v>
      </c>
      <c r="T27" s="861">
        <f>T26*R27</f>
        <v>39.266459886713548</v>
      </c>
      <c r="U27" s="853"/>
      <c r="V27" s="853"/>
    </row>
    <row r="28" spans="1:22" x14ac:dyDescent="0.3">
      <c r="R28" s="853"/>
      <c r="S28" s="855">
        <f>S26+S27</f>
        <v>166.81474505470823</v>
      </c>
      <c r="T28" s="855">
        <f>T26+T27</f>
        <v>175.13656330094727</v>
      </c>
      <c r="U28" s="853"/>
      <c r="V28" s="853"/>
    </row>
  </sheetData>
  <mergeCells count="2">
    <mergeCell ref="A25:J25"/>
    <mergeCell ref="A26:J26"/>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3BA36-DED7-4FAC-8171-17E7BEA50881}">
  <dimension ref="B3:AC141"/>
  <sheetViews>
    <sheetView workbookViewId="0">
      <selection activeCell="O69" sqref="O69"/>
    </sheetView>
  </sheetViews>
  <sheetFormatPr defaultRowHeight="14.4" x14ac:dyDescent="0.3"/>
  <sheetData>
    <row r="3" spans="2:29" x14ac:dyDescent="0.3">
      <c r="B3" s="116"/>
      <c r="C3" s="116"/>
      <c r="D3" s="116"/>
      <c r="E3" s="116"/>
      <c r="F3" s="116"/>
      <c r="G3" s="116"/>
      <c r="H3" s="116"/>
      <c r="I3" s="116"/>
      <c r="J3" s="116"/>
      <c r="K3" s="116"/>
      <c r="L3" s="116"/>
      <c r="M3" s="116"/>
      <c r="N3" s="116"/>
      <c r="O3" s="116"/>
      <c r="P3" s="116"/>
      <c r="Q3" s="116"/>
      <c r="R3" s="116"/>
      <c r="S3" s="116"/>
      <c r="T3" s="116"/>
      <c r="U3" s="116"/>
      <c r="V3" s="116"/>
      <c r="W3" s="116"/>
      <c r="X3" s="116"/>
      <c r="Y3" s="116"/>
      <c r="Z3" s="116"/>
      <c r="AA3" s="116"/>
      <c r="AB3" s="116"/>
      <c r="AC3" s="116"/>
    </row>
    <row r="4" spans="2:29" x14ac:dyDescent="0.3">
      <c r="B4" s="116"/>
      <c r="C4" s="116"/>
      <c r="D4" s="116"/>
      <c r="E4" s="116"/>
      <c r="F4" s="116"/>
      <c r="G4" s="116"/>
      <c r="H4" s="116"/>
      <c r="I4" s="116"/>
      <c r="J4" s="116"/>
      <c r="K4" s="116"/>
      <c r="L4" s="116"/>
      <c r="M4" s="116"/>
      <c r="N4" s="116"/>
      <c r="O4" s="116"/>
      <c r="P4" s="116"/>
      <c r="Q4" s="116"/>
      <c r="R4" s="116"/>
      <c r="S4" s="116"/>
      <c r="T4" s="116"/>
      <c r="U4" s="116"/>
      <c r="V4" s="116"/>
      <c r="W4" s="116"/>
      <c r="X4" s="116"/>
      <c r="Y4" s="116"/>
      <c r="Z4" s="116"/>
      <c r="AA4" s="116"/>
      <c r="AB4" s="116"/>
      <c r="AC4" s="116"/>
    </row>
    <row r="5" spans="2:29" x14ac:dyDescent="0.3">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row>
    <row r="6" spans="2:29" x14ac:dyDescent="0.3">
      <c r="B6" s="116"/>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row>
    <row r="7" spans="2:29" x14ac:dyDescent="0.3">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row>
    <row r="8" spans="2:29" x14ac:dyDescent="0.3">
      <c r="B8" s="116"/>
      <c r="C8" s="116"/>
      <c r="D8" s="116"/>
      <c r="E8" s="116"/>
      <c r="F8" s="116"/>
      <c r="G8" s="116"/>
      <c r="H8" s="116"/>
      <c r="I8" s="116"/>
      <c r="J8" s="116"/>
      <c r="K8" s="116"/>
      <c r="L8" s="116"/>
      <c r="M8" s="116"/>
      <c r="N8" s="116"/>
      <c r="O8" s="116"/>
      <c r="P8" s="116"/>
      <c r="Q8" s="116"/>
      <c r="R8" s="116"/>
      <c r="S8" s="116"/>
      <c r="T8" s="116"/>
      <c r="U8" s="116"/>
      <c r="V8" s="116"/>
      <c r="W8" s="116"/>
      <c r="X8" s="116"/>
      <c r="Y8" s="116"/>
      <c r="Z8" s="116"/>
      <c r="AA8" s="116"/>
      <c r="AB8" s="116"/>
      <c r="AC8" s="116"/>
    </row>
    <row r="9" spans="2:29" x14ac:dyDescent="0.3">
      <c r="B9" s="116"/>
      <c r="C9" s="116"/>
      <c r="D9" s="116"/>
      <c r="E9" s="116"/>
      <c r="F9" s="116"/>
      <c r="G9" s="116"/>
      <c r="H9" s="116"/>
      <c r="I9" s="116"/>
      <c r="J9" s="116"/>
      <c r="K9" s="116"/>
      <c r="L9" s="116"/>
      <c r="M9" s="116"/>
      <c r="N9" s="116"/>
      <c r="O9" s="116"/>
      <c r="P9" s="116"/>
      <c r="Q9" s="116"/>
      <c r="R9" s="116"/>
      <c r="S9" s="116"/>
      <c r="T9" s="116"/>
      <c r="U9" s="116"/>
      <c r="V9" s="116"/>
      <c r="W9" s="116"/>
      <c r="X9" s="116"/>
      <c r="Y9" s="116"/>
      <c r="Z9" s="116"/>
      <c r="AA9" s="116"/>
      <c r="AB9" s="116"/>
      <c r="AC9" s="116"/>
    </row>
    <row r="10" spans="2:29" x14ac:dyDescent="0.3">
      <c r="B10" s="116"/>
      <c r="C10" s="116"/>
      <c r="D10" s="116"/>
      <c r="E10" s="116"/>
      <c r="F10" s="116"/>
      <c r="G10" s="116"/>
      <c r="H10" s="116"/>
      <c r="I10" s="116"/>
      <c r="J10" s="116"/>
      <c r="K10" s="116"/>
      <c r="L10" s="116"/>
      <c r="M10" s="116"/>
      <c r="N10" s="116"/>
      <c r="O10" s="116"/>
      <c r="P10" s="116"/>
      <c r="Q10" s="116"/>
      <c r="R10" s="116"/>
      <c r="S10" s="116"/>
      <c r="T10" s="116"/>
      <c r="U10" s="116"/>
      <c r="V10" s="116"/>
      <c r="W10" s="116"/>
      <c r="X10" s="116"/>
      <c r="Y10" s="116"/>
      <c r="Z10" s="116"/>
      <c r="AA10" s="116"/>
      <c r="AB10" s="116"/>
      <c r="AC10" s="116"/>
    </row>
    <row r="11" spans="2:29" x14ac:dyDescent="0.3">
      <c r="B11" s="116"/>
      <c r="C11" s="116"/>
      <c r="D11" s="116"/>
      <c r="E11" s="116"/>
      <c r="F11" s="116"/>
      <c r="G11" s="116"/>
      <c r="H11" s="116"/>
      <c r="I11" s="116"/>
      <c r="J11" s="116"/>
      <c r="K11" s="116"/>
      <c r="L11" s="116"/>
      <c r="M11" s="116"/>
      <c r="N11" s="116"/>
      <c r="O11" s="116"/>
      <c r="P11" s="116"/>
      <c r="Q11" s="116"/>
      <c r="R11" s="116"/>
      <c r="S11" s="116"/>
      <c r="T11" s="116"/>
      <c r="U11" s="116"/>
      <c r="V11" s="116"/>
      <c r="W11" s="116"/>
      <c r="X11" s="116"/>
      <c r="Y11" s="116"/>
      <c r="Z11" s="116"/>
      <c r="AA11" s="116"/>
      <c r="AB11" s="116"/>
      <c r="AC11" s="116"/>
    </row>
    <row r="12" spans="2:29" x14ac:dyDescent="0.3">
      <c r="B12" s="116"/>
      <c r="C12" s="116"/>
      <c r="D12" s="116"/>
      <c r="E12" s="116"/>
      <c r="F12" s="116"/>
      <c r="G12" s="116"/>
      <c r="H12" s="116"/>
      <c r="I12" s="116"/>
      <c r="J12" s="116"/>
      <c r="K12" s="116"/>
      <c r="L12" s="116"/>
      <c r="M12" s="116"/>
      <c r="N12" s="116"/>
      <c r="O12" s="116"/>
      <c r="P12" s="116"/>
      <c r="Q12" s="116"/>
      <c r="R12" s="116"/>
      <c r="S12" s="116"/>
      <c r="T12" s="116"/>
      <c r="U12" s="116"/>
      <c r="V12" s="116"/>
      <c r="W12" s="116"/>
      <c r="X12" s="116"/>
      <c r="Y12" s="116"/>
      <c r="Z12" s="116"/>
      <c r="AA12" s="116"/>
      <c r="AB12" s="116"/>
      <c r="AC12" s="116"/>
    </row>
    <row r="13" spans="2:29" x14ac:dyDescent="0.3">
      <c r="B13" s="116"/>
      <c r="C13" s="116"/>
      <c r="D13" s="116"/>
      <c r="E13" s="116"/>
      <c r="F13" s="116"/>
      <c r="G13" s="116"/>
      <c r="H13" s="116"/>
      <c r="I13" s="116"/>
      <c r="J13" s="116"/>
      <c r="K13" s="116"/>
      <c r="L13" s="116"/>
      <c r="M13" s="116"/>
      <c r="N13" s="116"/>
      <c r="O13" s="116"/>
      <c r="P13" s="116"/>
      <c r="Q13" s="116"/>
      <c r="R13" s="116"/>
      <c r="S13" s="116"/>
      <c r="T13" s="116"/>
      <c r="U13" s="116"/>
      <c r="V13" s="116"/>
      <c r="W13" s="116"/>
      <c r="X13" s="116"/>
      <c r="Y13" s="116"/>
      <c r="Z13" s="116"/>
      <c r="AA13" s="116"/>
      <c r="AB13" s="116"/>
      <c r="AC13" s="116"/>
    </row>
    <row r="14" spans="2:29" x14ac:dyDescent="0.3">
      <c r="B14" s="116"/>
      <c r="C14" s="116"/>
      <c r="D14" s="116"/>
      <c r="E14" s="116"/>
      <c r="F14" s="116"/>
      <c r="G14" s="116"/>
      <c r="H14" s="116"/>
      <c r="I14" s="116"/>
      <c r="J14" s="116"/>
      <c r="K14" s="116"/>
      <c r="L14" s="116"/>
      <c r="M14" s="116"/>
      <c r="N14" s="116"/>
      <c r="O14" s="116"/>
      <c r="P14" s="116"/>
      <c r="Q14" s="116"/>
      <c r="R14" s="116"/>
      <c r="S14" s="116"/>
      <c r="T14" s="116"/>
      <c r="U14" s="116"/>
      <c r="V14" s="116"/>
      <c r="W14" s="116"/>
      <c r="X14" s="116"/>
      <c r="Y14" s="116"/>
      <c r="Z14" s="116"/>
      <c r="AA14" s="116"/>
      <c r="AB14" s="116"/>
      <c r="AC14" s="116"/>
    </row>
    <row r="15" spans="2:29" x14ac:dyDescent="0.3">
      <c r="B15" s="116"/>
      <c r="C15" s="116"/>
      <c r="D15" s="116"/>
      <c r="E15" s="116"/>
      <c r="F15" s="116"/>
      <c r="G15" s="116"/>
      <c r="H15" s="116"/>
      <c r="I15" s="116"/>
      <c r="J15" s="116"/>
      <c r="K15" s="116"/>
      <c r="L15" s="116"/>
      <c r="M15" s="116"/>
      <c r="N15" s="116"/>
      <c r="O15" s="116"/>
      <c r="P15" s="116"/>
      <c r="Q15" s="116"/>
      <c r="R15" s="116"/>
      <c r="S15" s="116"/>
      <c r="T15" s="116"/>
      <c r="U15" s="116"/>
      <c r="V15" s="116"/>
      <c r="W15" s="116"/>
      <c r="X15" s="116"/>
      <c r="Y15" s="116"/>
      <c r="Z15" s="116"/>
      <c r="AA15" s="116"/>
      <c r="AB15" s="116"/>
      <c r="AC15" s="116"/>
    </row>
    <row r="16" spans="2:29" x14ac:dyDescent="0.3">
      <c r="B16" s="116"/>
      <c r="C16" s="116"/>
      <c r="D16" s="116"/>
      <c r="E16" s="116"/>
      <c r="F16" s="116"/>
      <c r="G16" s="116"/>
      <c r="H16" s="116"/>
      <c r="I16" s="116"/>
      <c r="J16" s="116"/>
      <c r="K16" s="116"/>
      <c r="L16" s="116"/>
      <c r="M16" s="116"/>
      <c r="N16" s="116"/>
      <c r="O16" s="116"/>
      <c r="P16" s="116"/>
      <c r="Q16" s="116"/>
      <c r="R16" s="116"/>
      <c r="S16" s="116"/>
      <c r="T16" s="116"/>
      <c r="U16" s="116"/>
      <c r="V16" s="116"/>
      <c r="W16" s="116"/>
      <c r="X16" s="116"/>
      <c r="Y16" s="116"/>
      <c r="Z16" s="116"/>
      <c r="AA16" s="116"/>
      <c r="AB16" s="116"/>
      <c r="AC16" s="116"/>
    </row>
    <row r="17" spans="2:29" x14ac:dyDescent="0.3">
      <c r="B17" s="116"/>
      <c r="C17" s="116"/>
      <c r="D17" s="116"/>
      <c r="E17" s="116"/>
      <c r="F17" s="116"/>
      <c r="G17" s="116"/>
      <c r="H17" s="116"/>
      <c r="I17" s="116"/>
      <c r="J17" s="116"/>
      <c r="K17" s="116"/>
      <c r="L17" s="116"/>
      <c r="M17" s="116"/>
      <c r="N17" s="116"/>
      <c r="O17" s="116"/>
      <c r="P17" s="116"/>
      <c r="Q17" s="116"/>
      <c r="R17" s="116"/>
      <c r="S17" s="116"/>
      <c r="T17" s="116"/>
      <c r="U17" s="116"/>
      <c r="V17" s="116"/>
      <c r="W17" s="116"/>
      <c r="X17" s="116"/>
      <c r="Y17" s="116"/>
      <c r="Z17" s="116"/>
      <c r="AA17" s="116"/>
      <c r="AB17" s="116"/>
      <c r="AC17" s="116"/>
    </row>
    <row r="18" spans="2:29" x14ac:dyDescent="0.3">
      <c r="B18" s="116"/>
      <c r="C18" s="116"/>
      <c r="D18" s="116"/>
      <c r="E18" s="116"/>
      <c r="F18" s="116"/>
      <c r="G18" s="116"/>
      <c r="H18" s="116"/>
      <c r="I18" s="116"/>
      <c r="J18" s="116"/>
      <c r="K18" s="116"/>
      <c r="L18" s="116"/>
      <c r="M18" s="116"/>
      <c r="N18" s="116"/>
      <c r="O18" s="116"/>
      <c r="P18" s="116"/>
      <c r="Q18" s="116"/>
      <c r="R18" s="116"/>
      <c r="S18" s="116"/>
      <c r="T18" s="116"/>
      <c r="U18" s="116"/>
      <c r="V18" s="116"/>
      <c r="W18" s="116"/>
      <c r="X18" s="116"/>
      <c r="Y18" s="116"/>
      <c r="Z18" s="116"/>
      <c r="AA18" s="116"/>
      <c r="AB18" s="116"/>
      <c r="AC18" s="116"/>
    </row>
    <row r="19" spans="2:29" x14ac:dyDescent="0.3">
      <c r="B19" s="116"/>
      <c r="C19" s="116"/>
      <c r="D19" s="116"/>
      <c r="E19" s="116"/>
      <c r="F19" s="116"/>
      <c r="G19" s="116"/>
      <c r="H19" s="116"/>
      <c r="I19" s="116"/>
      <c r="J19" s="116"/>
      <c r="K19" s="116"/>
      <c r="L19" s="116"/>
      <c r="M19" s="116"/>
      <c r="N19" s="116"/>
      <c r="O19" s="116"/>
      <c r="P19" s="116"/>
      <c r="Q19" s="116"/>
      <c r="R19" s="116"/>
      <c r="S19" s="116"/>
      <c r="T19" s="116"/>
      <c r="U19" s="116"/>
      <c r="V19" s="116"/>
      <c r="W19" s="116"/>
      <c r="X19" s="116"/>
      <c r="Y19" s="116"/>
      <c r="Z19" s="116"/>
      <c r="AA19" s="116"/>
      <c r="AB19" s="116"/>
      <c r="AC19" s="116"/>
    </row>
    <row r="20" spans="2:29" x14ac:dyDescent="0.3">
      <c r="B20" s="116"/>
      <c r="C20" s="116"/>
      <c r="D20" s="116"/>
      <c r="E20" s="116"/>
      <c r="F20" s="116"/>
      <c r="G20" s="116"/>
      <c r="H20" s="116"/>
      <c r="I20" s="116"/>
      <c r="J20" s="116"/>
      <c r="K20" s="116"/>
      <c r="L20" s="116"/>
      <c r="M20" s="116"/>
      <c r="N20" s="116"/>
      <c r="O20" s="116"/>
      <c r="P20" s="116"/>
      <c r="Q20" s="116"/>
      <c r="R20" s="116"/>
      <c r="S20" s="116"/>
      <c r="T20" s="116"/>
      <c r="U20" s="116"/>
      <c r="V20" s="116"/>
      <c r="W20" s="116"/>
      <c r="X20" s="116"/>
      <c r="Y20" s="116"/>
      <c r="Z20" s="116"/>
      <c r="AA20" s="116"/>
      <c r="AB20" s="116"/>
      <c r="AC20" s="116"/>
    </row>
    <row r="21" spans="2:29" x14ac:dyDescent="0.3">
      <c r="B21" s="116"/>
      <c r="C21" s="116"/>
      <c r="D21" s="116"/>
      <c r="E21" s="116"/>
      <c r="F21" s="116"/>
      <c r="G21" s="116"/>
      <c r="H21" s="116"/>
      <c r="I21" s="116"/>
      <c r="J21" s="116"/>
      <c r="K21" s="116"/>
      <c r="L21" s="116"/>
      <c r="M21" s="116"/>
      <c r="N21" s="116"/>
      <c r="O21" s="116"/>
      <c r="P21" s="116"/>
      <c r="Q21" s="116"/>
      <c r="R21" s="116"/>
      <c r="S21" s="116"/>
      <c r="T21" s="116"/>
      <c r="U21" s="116"/>
      <c r="V21" s="116"/>
      <c r="W21" s="116"/>
      <c r="X21" s="116"/>
      <c r="Y21" s="116"/>
      <c r="Z21" s="116"/>
      <c r="AA21" s="116"/>
      <c r="AB21" s="116"/>
      <c r="AC21" s="116"/>
    </row>
    <row r="22" spans="2:29" x14ac:dyDescent="0.3">
      <c r="B22" s="116"/>
      <c r="C22" s="116"/>
      <c r="D22" s="116"/>
      <c r="E22" s="116"/>
      <c r="F22" s="116"/>
      <c r="G22" s="116"/>
      <c r="H22" s="116"/>
      <c r="I22" s="116"/>
      <c r="J22" s="116"/>
      <c r="K22" s="116"/>
      <c r="L22" s="116"/>
      <c r="M22" s="116"/>
      <c r="N22" s="116"/>
      <c r="O22" s="116"/>
      <c r="P22" s="116"/>
      <c r="Q22" s="116"/>
      <c r="R22" s="116"/>
      <c r="S22" s="116"/>
      <c r="T22" s="116"/>
      <c r="U22" s="116"/>
      <c r="V22" s="116"/>
      <c r="W22" s="116"/>
      <c r="X22" s="116"/>
      <c r="Y22" s="116"/>
      <c r="Z22" s="116"/>
      <c r="AA22" s="116"/>
      <c r="AB22" s="116"/>
      <c r="AC22" s="116"/>
    </row>
    <row r="23" spans="2:29" x14ac:dyDescent="0.3">
      <c r="B23" s="116"/>
      <c r="C23" s="116"/>
      <c r="D23" s="116"/>
      <c r="E23" s="116"/>
      <c r="F23" s="116"/>
      <c r="G23" s="116"/>
      <c r="H23" s="116"/>
      <c r="I23" s="116"/>
      <c r="J23" s="116"/>
      <c r="K23" s="116"/>
      <c r="L23" s="116"/>
      <c r="M23" s="116"/>
      <c r="N23" s="116"/>
      <c r="O23" s="116"/>
      <c r="P23" s="116"/>
      <c r="Q23" s="116"/>
      <c r="R23" s="116"/>
      <c r="S23" s="116"/>
      <c r="T23" s="116"/>
      <c r="U23" s="116"/>
      <c r="V23" s="116"/>
      <c r="W23" s="116"/>
      <c r="X23" s="116"/>
      <c r="Y23" s="116"/>
      <c r="Z23" s="116"/>
      <c r="AA23" s="116"/>
      <c r="AB23" s="116"/>
      <c r="AC23" s="116"/>
    </row>
    <row r="24" spans="2:29" x14ac:dyDescent="0.3">
      <c r="B24" s="116"/>
      <c r="C24" s="116"/>
      <c r="D24" s="116"/>
      <c r="E24" s="116"/>
      <c r="F24" s="116"/>
      <c r="G24" s="116"/>
      <c r="H24" s="116"/>
      <c r="I24" s="116"/>
      <c r="J24" s="116"/>
      <c r="K24" s="116"/>
      <c r="L24" s="116"/>
      <c r="M24" s="116"/>
      <c r="N24" s="116"/>
      <c r="O24" s="116"/>
      <c r="P24" s="116"/>
      <c r="Q24" s="116"/>
      <c r="R24" s="116"/>
      <c r="S24" s="116"/>
      <c r="T24" s="116"/>
      <c r="U24" s="116"/>
      <c r="V24" s="116"/>
      <c r="W24" s="116"/>
      <c r="X24" s="116"/>
      <c r="Y24" s="116"/>
      <c r="Z24" s="116"/>
      <c r="AA24" s="116"/>
      <c r="AB24" s="116"/>
      <c r="AC24" s="116"/>
    </row>
    <row r="25" spans="2:29" x14ac:dyDescent="0.3">
      <c r="B25" s="116"/>
      <c r="C25" s="116"/>
      <c r="D25" s="116"/>
      <c r="E25" s="116"/>
      <c r="F25" s="116"/>
      <c r="G25" s="116"/>
      <c r="H25" s="116"/>
      <c r="I25" s="116"/>
      <c r="J25" s="116"/>
      <c r="K25" s="116"/>
      <c r="L25" s="116"/>
      <c r="M25" s="116"/>
      <c r="N25" s="116"/>
      <c r="O25" s="116"/>
      <c r="P25" s="116"/>
      <c r="Q25" s="116"/>
      <c r="R25" s="116"/>
      <c r="S25" s="116"/>
      <c r="T25" s="116"/>
      <c r="U25" s="116"/>
      <c r="V25" s="116"/>
      <c r="W25" s="116"/>
      <c r="X25" s="116"/>
      <c r="Y25" s="116"/>
      <c r="Z25" s="116"/>
      <c r="AA25" s="116"/>
      <c r="AB25" s="116"/>
      <c r="AC25" s="116"/>
    </row>
    <row r="26" spans="2:29" x14ac:dyDescent="0.3">
      <c r="B26" s="116"/>
      <c r="C26" s="116"/>
      <c r="D26" s="116"/>
      <c r="E26" s="116"/>
      <c r="F26" s="116"/>
      <c r="G26" s="116"/>
      <c r="H26" s="116"/>
      <c r="I26" s="116"/>
      <c r="J26" s="116"/>
      <c r="K26" s="116"/>
      <c r="L26" s="116"/>
      <c r="M26" s="116"/>
      <c r="N26" s="116"/>
      <c r="O26" s="116"/>
      <c r="P26" s="116"/>
      <c r="Q26" s="116"/>
      <c r="R26" s="116"/>
      <c r="S26" s="116"/>
      <c r="T26" s="116"/>
      <c r="U26" s="116"/>
      <c r="V26" s="116"/>
      <c r="W26" s="116"/>
      <c r="X26" s="116"/>
      <c r="Y26" s="116"/>
      <c r="Z26" s="116"/>
      <c r="AA26" s="116"/>
      <c r="AB26" s="116"/>
      <c r="AC26" s="116"/>
    </row>
    <row r="27" spans="2:29" x14ac:dyDescent="0.3">
      <c r="B27" s="116"/>
      <c r="C27" s="116"/>
      <c r="D27" s="116"/>
      <c r="E27" s="116"/>
      <c r="F27" s="116"/>
      <c r="G27" s="116"/>
      <c r="H27" s="116"/>
      <c r="I27" s="116"/>
      <c r="J27" s="116"/>
      <c r="K27" s="116"/>
      <c r="L27" s="116"/>
      <c r="M27" s="116"/>
      <c r="N27" s="116"/>
      <c r="O27" s="116"/>
      <c r="P27" s="116"/>
      <c r="Q27" s="116"/>
      <c r="R27" s="116"/>
      <c r="S27" s="116"/>
      <c r="T27" s="116"/>
      <c r="U27" s="116"/>
      <c r="V27" s="116"/>
      <c r="W27" s="116"/>
      <c r="X27" s="116"/>
      <c r="Y27" s="116"/>
      <c r="Z27" s="116"/>
      <c r="AA27" s="116"/>
      <c r="AB27" s="116"/>
      <c r="AC27" s="116"/>
    </row>
    <row r="28" spans="2:29" x14ac:dyDescent="0.3">
      <c r="B28" s="116"/>
      <c r="C28" s="116"/>
      <c r="D28" s="116"/>
      <c r="E28" s="116"/>
      <c r="F28" s="116"/>
      <c r="G28" s="116"/>
      <c r="H28" s="116"/>
      <c r="I28" s="116"/>
      <c r="J28" s="116"/>
      <c r="K28" s="116"/>
      <c r="L28" s="116"/>
      <c r="M28" s="116"/>
      <c r="N28" s="116"/>
      <c r="O28" s="116"/>
      <c r="P28" s="116"/>
      <c r="Q28" s="116"/>
      <c r="R28" s="116"/>
      <c r="S28" s="116"/>
      <c r="T28" s="116"/>
      <c r="U28" s="116"/>
      <c r="V28" s="116"/>
      <c r="W28" s="116"/>
      <c r="X28" s="116"/>
      <c r="Y28" s="116"/>
      <c r="Z28" s="116"/>
      <c r="AA28" s="116"/>
      <c r="AB28" s="116"/>
      <c r="AC28" s="116"/>
    </row>
    <row r="29" spans="2:29" x14ac:dyDescent="0.3">
      <c r="B29" s="116"/>
      <c r="C29" s="116"/>
      <c r="D29" s="116"/>
      <c r="E29" s="116"/>
      <c r="F29" s="116"/>
      <c r="G29" s="116"/>
      <c r="H29" s="116"/>
      <c r="I29" s="116"/>
      <c r="J29" s="116"/>
      <c r="K29" s="116"/>
      <c r="L29" s="116"/>
      <c r="M29" s="116"/>
      <c r="N29" s="116"/>
      <c r="O29" s="116"/>
      <c r="P29" s="116"/>
      <c r="Q29" s="116"/>
      <c r="R29" s="116"/>
      <c r="S29" s="116"/>
      <c r="T29" s="116"/>
      <c r="U29" s="116"/>
      <c r="V29" s="116"/>
      <c r="W29" s="116"/>
      <c r="X29" s="116"/>
      <c r="Y29" s="116"/>
      <c r="Z29" s="116"/>
      <c r="AA29" s="116"/>
      <c r="AB29" s="116"/>
      <c r="AC29" s="116"/>
    </row>
    <row r="30" spans="2:29" x14ac:dyDescent="0.3">
      <c r="B30" s="116"/>
      <c r="C30" s="116"/>
      <c r="D30" s="116"/>
      <c r="E30" s="116"/>
      <c r="F30" s="116"/>
      <c r="G30" s="116"/>
      <c r="H30" s="116"/>
      <c r="I30" s="116"/>
      <c r="J30" s="116"/>
      <c r="K30" s="116"/>
      <c r="L30" s="116"/>
      <c r="M30" s="116"/>
      <c r="N30" s="116"/>
      <c r="O30" s="116"/>
      <c r="P30" s="116"/>
      <c r="Q30" s="116"/>
      <c r="R30" s="116"/>
      <c r="S30" s="116"/>
      <c r="T30" s="116"/>
      <c r="U30" s="116"/>
      <c r="V30" s="116"/>
      <c r="W30" s="116"/>
      <c r="X30" s="116"/>
      <c r="Y30" s="116"/>
      <c r="Z30" s="116"/>
      <c r="AA30" s="116"/>
      <c r="AB30" s="116"/>
      <c r="AC30" s="116"/>
    </row>
    <row r="31" spans="2:29" x14ac:dyDescent="0.3">
      <c r="B31" s="116"/>
      <c r="C31" s="116"/>
      <c r="D31" s="116"/>
      <c r="E31" s="116"/>
      <c r="F31" s="116"/>
      <c r="G31" s="116"/>
      <c r="H31" s="116"/>
      <c r="I31" s="116"/>
      <c r="J31" s="116"/>
      <c r="K31" s="116"/>
      <c r="L31" s="116"/>
      <c r="M31" s="116"/>
      <c r="N31" s="116"/>
      <c r="O31" s="116"/>
      <c r="P31" s="116"/>
      <c r="Q31" s="116"/>
      <c r="R31" s="116"/>
      <c r="S31" s="116"/>
      <c r="T31" s="116"/>
      <c r="U31" s="116"/>
      <c r="V31" s="116"/>
      <c r="W31" s="116"/>
      <c r="X31" s="116"/>
      <c r="Y31" s="116"/>
      <c r="Z31" s="116"/>
      <c r="AA31" s="116"/>
      <c r="AB31" s="116"/>
      <c r="AC31" s="116"/>
    </row>
    <row r="32" spans="2:29" x14ac:dyDescent="0.3">
      <c r="B32" s="116"/>
      <c r="C32" s="116"/>
      <c r="D32" s="116"/>
      <c r="E32" s="116"/>
      <c r="F32" s="116"/>
      <c r="G32" s="116"/>
      <c r="H32" s="116"/>
      <c r="I32" s="116"/>
      <c r="J32" s="116"/>
      <c r="K32" s="116"/>
      <c r="L32" s="116"/>
      <c r="M32" s="116"/>
      <c r="N32" s="116"/>
      <c r="O32" s="116"/>
      <c r="P32" s="116"/>
      <c r="Q32" s="116"/>
      <c r="R32" s="116"/>
      <c r="S32" s="116"/>
      <c r="T32" s="116"/>
      <c r="U32" s="116"/>
      <c r="V32" s="116"/>
      <c r="W32" s="116"/>
      <c r="X32" s="116"/>
      <c r="Y32" s="116"/>
      <c r="Z32" s="116"/>
      <c r="AA32" s="116"/>
      <c r="AB32" s="116"/>
      <c r="AC32" s="116"/>
    </row>
    <row r="33" spans="2:29" x14ac:dyDescent="0.3">
      <c r="B33" s="116"/>
      <c r="C33" s="116"/>
      <c r="D33" s="116"/>
      <c r="E33" s="116"/>
      <c r="F33" s="116"/>
      <c r="G33" s="116"/>
      <c r="H33" s="116"/>
      <c r="I33" s="116"/>
      <c r="J33" s="116"/>
      <c r="K33" s="116"/>
      <c r="L33" s="116"/>
      <c r="M33" s="116"/>
      <c r="N33" s="116"/>
      <c r="O33" s="116"/>
      <c r="P33" s="116"/>
      <c r="Q33" s="116"/>
      <c r="R33" s="116"/>
      <c r="S33" s="116"/>
      <c r="T33" s="116"/>
      <c r="U33" s="116"/>
      <c r="V33" s="116"/>
      <c r="W33" s="116"/>
      <c r="X33" s="116"/>
      <c r="Y33" s="116"/>
      <c r="Z33" s="116"/>
      <c r="AA33" s="116"/>
      <c r="AB33" s="116"/>
      <c r="AC33" s="116"/>
    </row>
    <row r="34" spans="2:29" x14ac:dyDescent="0.3">
      <c r="B34" s="116"/>
      <c r="C34" s="116"/>
      <c r="D34" s="116"/>
      <c r="E34" s="116"/>
      <c r="F34" s="116"/>
      <c r="G34" s="116"/>
      <c r="H34" s="116"/>
      <c r="I34" s="116"/>
      <c r="J34" s="116"/>
      <c r="K34" s="116"/>
      <c r="L34" s="116"/>
      <c r="M34" s="116"/>
      <c r="N34" s="116"/>
      <c r="O34" s="116"/>
      <c r="P34" s="116"/>
      <c r="Q34" s="116"/>
      <c r="R34" s="116"/>
      <c r="S34" s="116"/>
      <c r="T34" s="116"/>
      <c r="U34" s="116"/>
      <c r="V34" s="116"/>
      <c r="W34" s="116"/>
      <c r="X34" s="116"/>
      <c r="Y34" s="116"/>
      <c r="Z34" s="116"/>
      <c r="AA34" s="116"/>
      <c r="AB34" s="116"/>
      <c r="AC34" s="116"/>
    </row>
    <row r="35" spans="2:29" x14ac:dyDescent="0.3">
      <c r="B35" s="116"/>
      <c r="C35" s="116"/>
      <c r="D35" s="116"/>
      <c r="E35" s="116"/>
      <c r="F35" s="116"/>
      <c r="G35" s="116"/>
      <c r="H35" s="116"/>
      <c r="I35" s="116"/>
      <c r="J35" s="116"/>
      <c r="K35" s="116"/>
      <c r="L35" s="116"/>
      <c r="M35" s="116"/>
      <c r="N35" s="116"/>
      <c r="O35" s="116"/>
      <c r="P35" s="116"/>
      <c r="Q35" s="116"/>
      <c r="R35" s="116"/>
      <c r="S35" s="116"/>
      <c r="T35" s="116"/>
      <c r="U35" s="116"/>
      <c r="V35" s="116"/>
      <c r="W35" s="116"/>
      <c r="X35" s="116"/>
      <c r="Y35" s="116"/>
      <c r="Z35" s="116"/>
      <c r="AA35" s="116"/>
      <c r="AB35" s="116"/>
      <c r="AC35" s="116"/>
    </row>
    <row r="36" spans="2:29" x14ac:dyDescent="0.3">
      <c r="B36" s="116"/>
      <c r="C36" s="116"/>
      <c r="D36" s="116"/>
      <c r="E36" s="116"/>
      <c r="F36" s="116"/>
      <c r="G36" s="116"/>
      <c r="H36" s="116"/>
      <c r="I36" s="116"/>
      <c r="J36" s="116"/>
      <c r="K36" s="116"/>
      <c r="L36" s="116"/>
      <c r="M36" s="116"/>
      <c r="N36" s="116"/>
      <c r="O36" s="116"/>
      <c r="P36" s="116"/>
      <c r="Q36" s="116"/>
      <c r="R36" s="116"/>
      <c r="S36" s="116"/>
      <c r="T36" s="116"/>
      <c r="U36" s="116"/>
      <c r="V36" s="116"/>
      <c r="W36" s="116"/>
      <c r="X36" s="116"/>
      <c r="Y36" s="116"/>
      <c r="Z36" s="116"/>
      <c r="AA36" s="116"/>
      <c r="AB36" s="116"/>
      <c r="AC36" s="116"/>
    </row>
    <row r="37" spans="2:29" x14ac:dyDescent="0.3">
      <c r="B37" s="116"/>
      <c r="C37" s="116"/>
      <c r="D37" s="116"/>
      <c r="E37" s="116"/>
      <c r="F37" s="116"/>
      <c r="G37" s="116"/>
      <c r="H37" s="116"/>
      <c r="I37" s="116"/>
      <c r="J37" s="116"/>
      <c r="K37" s="116"/>
      <c r="L37" s="116"/>
      <c r="M37" s="116"/>
      <c r="N37" s="116"/>
      <c r="O37" s="116"/>
      <c r="P37" s="116"/>
      <c r="Q37" s="116"/>
      <c r="R37" s="116"/>
      <c r="S37" s="116"/>
      <c r="T37" s="116"/>
      <c r="U37" s="116"/>
      <c r="V37" s="116"/>
      <c r="W37" s="116"/>
      <c r="X37" s="116"/>
      <c r="Y37" s="116"/>
      <c r="Z37" s="116"/>
      <c r="AA37" s="116"/>
      <c r="AB37" s="116"/>
      <c r="AC37" s="116"/>
    </row>
    <row r="38" spans="2:29" x14ac:dyDescent="0.3">
      <c r="B38" s="116"/>
      <c r="C38" s="116"/>
      <c r="D38" s="116"/>
      <c r="E38" s="116"/>
      <c r="F38" s="116"/>
      <c r="G38" s="116"/>
      <c r="H38" s="116"/>
      <c r="I38" s="116"/>
      <c r="J38" s="116"/>
      <c r="K38" s="116"/>
      <c r="L38" s="116"/>
      <c r="M38" s="116"/>
      <c r="N38" s="116"/>
      <c r="O38" s="116"/>
      <c r="P38" s="116"/>
      <c r="Q38" s="116"/>
      <c r="R38" s="116"/>
      <c r="S38" s="116"/>
      <c r="T38" s="116"/>
      <c r="U38" s="116"/>
      <c r="V38" s="116"/>
      <c r="W38" s="116"/>
      <c r="X38" s="116"/>
      <c r="Y38" s="116"/>
      <c r="Z38" s="116"/>
      <c r="AA38" s="116"/>
      <c r="AB38" s="116"/>
      <c r="AC38" s="116"/>
    </row>
    <row r="39" spans="2:29" x14ac:dyDescent="0.3">
      <c r="B39" s="116"/>
      <c r="C39" s="116"/>
      <c r="D39" s="116"/>
      <c r="E39" s="116"/>
      <c r="F39" s="116"/>
      <c r="G39" s="116"/>
      <c r="H39" s="116"/>
      <c r="I39" s="116"/>
      <c r="J39" s="116"/>
      <c r="K39" s="116"/>
      <c r="L39" s="116"/>
      <c r="M39" s="116"/>
      <c r="N39" s="116"/>
      <c r="O39" s="116"/>
      <c r="P39" s="116"/>
      <c r="Q39" s="116"/>
      <c r="R39" s="116"/>
      <c r="S39" s="116"/>
      <c r="T39" s="116"/>
      <c r="U39" s="116"/>
      <c r="V39" s="116"/>
      <c r="W39" s="116"/>
      <c r="X39" s="116"/>
      <c r="Y39" s="116"/>
      <c r="Z39" s="116"/>
      <c r="AA39" s="116"/>
      <c r="AB39" s="116"/>
      <c r="AC39" s="116"/>
    </row>
    <row r="40" spans="2:29" x14ac:dyDescent="0.3">
      <c r="B40" s="116"/>
      <c r="C40" s="116"/>
      <c r="D40" s="116"/>
      <c r="E40" s="116"/>
      <c r="F40" s="116"/>
      <c r="G40" s="116"/>
      <c r="H40" s="116"/>
      <c r="I40" s="116"/>
      <c r="J40" s="116"/>
      <c r="K40" s="116"/>
      <c r="L40" s="116"/>
      <c r="M40" s="116"/>
      <c r="N40" s="116"/>
      <c r="O40" s="116"/>
      <c r="P40" s="116"/>
      <c r="Q40" s="116"/>
      <c r="R40" s="116"/>
      <c r="S40" s="116"/>
      <c r="T40" s="116"/>
      <c r="U40" s="116"/>
      <c r="V40" s="116"/>
      <c r="W40" s="116"/>
      <c r="X40" s="116"/>
      <c r="Y40" s="116"/>
      <c r="Z40" s="116"/>
      <c r="AA40" s="116"/>
      <c r="AB40" s="116"/>
      <c r="AC40" s="116"/>
    </row>
    <row r="41" spans="2:29" x14ac:dyDescent="0.3">
      <c r="B41" s="116"/>
      <c r="C41" s="116"/>
      <c r="D41" s="116"/>
      <c r="E41" s="116"/>
      <c r="F41" s="116"/>
      <c r="G41" s="116"/>
      <c r="H41" s="116"/>
      <c r="I41" s="116"/>
      <c r="J41" s="116"/>
      <c r="K41" s="116"/>
      <c r="L41" s="116"/>
      <c r="M41" s="116"/>
      <c r="N41" s="116"/>
      <c r="O41" s="116"/>
      <c r="P41" s="116"/>
      <c r="Q41" s="116"/>
      <c r="R41" s="116"/>
      <c r="S41" s="116"/>
      <c r="T41" s="116"/>
      <c r="U41" s="116"/>
      <c r="V41" s="116"/>
      <c r="W41" s="116"/>
      <c r="X41" s="116"/>
      <c r="Y41" s="116"/>
      <c r="Z41" s="116"/>
      <c r="AA41" s="116"/>
      <c r="AB41" s="116"/>
      <c r="AC41" s="116"/>
    </row>
    <row r="42" spans="2:29" x14ac:dyDescent="0.3">
      <c r="B42" s="116"/>
      <c r="C42" s="116"/>
      <c r="D42" s="116"/>
      <c r="E42" s="116"/>
      <c r="F42" s="116"/>
      <c r="G42" s="116"/>
      <c r="H42" s="116"/>
      <c r="I42" s="116"/>
      <c r="J42" s="116"/>
      <c r="K42" s="116"/>
      <c r="L42" s="116"/>
      <c r="M42" s="116"/>
      <c r="N42" s="116"/>
      <c r="O42" s="116"/>
      <c r="P42" s="116"/>
      <c r="Q42" s="116"/>
      <c r="R42" s="116"/>
      <c r="S42" s="116"/>
      <c r="T42" s="116"/>
      <c r="U42" s="116"/>
      <c r="V42" s="116"/>
      <c r="W42" s="116"/>
      <c r="X42" s="116"/>
      <c r="Y42" s="116"/>
      <c r="Z42" s="116"/>
      <c r="AA42" s="116"/>
      <c r="AB42" s="116"/>
      <c r="AC42" s="116"/>
    </row>
    <row r="43" spans="2:29" x14ac:dyDescent="0.3">
      <c r="B43" s="116"/>
      <c r="C43" s="116"/>
      <c r="D43" s="116"/>
      <c r="E43" s="116"/>
      <c r="F43" s="116"/>
      <c r="G43" s="116"/>
      <c r="H43" s="116"/>
      <c r="I43" s="116"/>
      <c r="J43" s="116"/>
      <c r="K43" s="116"/>
      <c r="L43" s="116"/>
      <c r="M43" s="116"/>
      <c r="N43" s="116"/>
      <c r="O43" s="116"/>
      <c r="P43" s="116"/>
      <c r="Q43" s="116"/>
      <c r="R43" s="116"/>
      <c r="S43" s="116"/>
      <c r="T43" s="116"/>
      <c r="U43" s="116"/>
      <c r="V43" s="116"/>
      <c r="W43" s="116"/>
      <c r="X43" s="116"/>
      <c r="Y43" s="116"/>
      <c r="Z43" s="116"/>
      <c r="AA43" s="116"/>
      <c r="AB43" s="116"/>
      <c r="AC43" s="116"/>
    </row>
    <row r="44" spans="2:29" x14ac:dyDescent="0.3">
      <c r="B44" s="116"/>
      <c r="C44" s="116"/>
      <c r="D44" s="116"/>
      <c r="E44" s="116"/>
      <c r="F44" s="116"/>
      <c r="G44" s="116"/>
      <c r="H44" s="116"/>
      <c r="I44" s="116"/>
      <c r="J44" s="116"/>
      <c r="K44" s="116"/>
      <c r="L44" s="116"/>
      <c r="M44" s="116"/>
      <c r="N44" s="116"/>
      <c r="O44" s="116"/>
      <c r="P44" s="116"/>
      <c r="Q44" s="116"/>
      <c r="R44" s="116"/>
      <c r="S44" s="116"/>
      <c r="T44" s="116"/>
      <c r="U44" s="116"/>
      <c r="V44" s="116"/>
      <c r="W44" s="116"/>
      <c r="X44" s="116"/>
      <c r="Y44" s="116"/>
      <c r="Z44" s="116"/>
      <c r="AA44" s="116"/>
      <c r="AB44" s="116"/>
      <c r="AC44" s="116"/>
    </row>
    <row r="45" spans="2:29" x14ac:dyDescent="0.3">
      <c r="B45" s="116"/>
      <c r="C45" s="116"/>
      <c r="D45" s="116"/>
      <c r="E45" s="116"/>
      <c r="F45" s="116"/>
      <c r="G45" s="116"/>
      <c r="H45" s="116"/>
      <c r="I45" s="116"/>
      <c r="J45" s="116"/>
      <c r="K45" s="116"/>
      <c r="L45" s="116"/>
      <c r="M45" s="116"/>
      <c r="N45" s="116"/>
      <c r="O45" s="116"/>
      <c r="P45" s="116"/>
      <c r="Q45" s="116"/>
      <c r="R45" s="116"/>
      <c r="S45" s="116"/>
      <c r="T45" s="116"/>
      <c r="U45" s="116"/>
      <c r="V45" s="116"/>
      <c r="W45" s="116"/>
      <c r="X45" s="116"/>
      <c r="Y45" s="116"/>
      <c r="Z45" s="116"/>
      <c r="AA45" s="116"/>
      <c r="AB45" s="116"/>
      <c r="AC45" s="116"/>
    </row>
    <row r="46" spans="2:29" x14ac:dyDescent="0.3">
      <c r="B46" s="116"/>
      <c r="C46" s="116"/>
      <c r="D46" s="116"/>
      <c r="E46" s="116"/>
      <c r="F46" s="116"/>
      <c r="G46" s="116"/>
      <c r="H46" s="116"/>
      <c r="I46" s="116"/>
      <c r="J46" s="116"/>
      <c r="K46" s="116"/>
      <c r="L46" s="116"/>
      <c r="M46" s="116"/>
      <c r="N46" s="116"/>
      <c r="O46" s="116"/>
      <c r="P46" s="116"/>
      <c r="Q46" s="116"/>
      <c r="R46" s="116"/>
      <c r="S46" s="116"/>
      <c r="T46" s="116"/>
      <c r="U46" s="116"/>
      <c r="V46" s="116"/>
      <c r="W46" s="116"/>
      <c r="X46" s="116"/>
      <c r="Y46" s="116"/>
      <c r="Z46" s="116"/>
      <c r="AA46" s="116"/>
      <c r="AB46" s="116"/>
      <c r="AC46" s="116"/>
    </row>
    <row r="47" spans="2:29" x14ac:dyDescent="0.3">
      <c r="B47" s="116"/>
      <c r="C47" s="116"/>
      <c r="D47" s="116"/>
      <c r="E47" s="116"/>
      <c r="F47" s="116"/>
      <c r="G47" s="116"/>
      <c r="H47" s="116"/>
      <c r="I47" s="116"/>
      <c r="J47" s="116"/>
      <c r="K47" s="116"/>
      <c r="L47" s="116"/>
      <c r="M47" s="116"/>
      <c r="N47" s="116"/>
      <c r="O47" s="116"/>
      <c r="P47" s="116"/>
      <c r="Q47" s="116"/>
      <c r="R47" s="116"/>
      <c r="S47" s="116"/>
      <c r="T47" s="116"/>
      <c r="U47" s="116"/>
      <c r="V47" s="116"/>
      <c r="W47" s="116"/>
      <c r="X47" s="116"/>
      <c r="Y47" s="116"/>
      <c r="Z47" s="116"/>
      <c r="AA47" s="116"/>
      <c r="AB47" s="116"/>
      <c r="AC47" s="116"/>
    </row>
    <row r="48" spans="2:29" x14ac:dyDescent="0.3">
      <c r="B48" s="116"/>
      <c r="C48" s="116"/>
      <c r="D48" s="116"/>
      <c r="E48" s="116"/>
      <c r="F48" s="116"/>
      <c r="G48" s="116"/>
      <c r="H48" s="116"/>
      <c r="I48" s="116"/>
      <c r="J48" s="116"/>
      <c r="K48" s="116"/>
      <c r="L48" s="116"/>
      <c r="M48" s="116"/>
      <c r="N48" s="116"/>
      <c r="O48" s="116"/>
      <c r="P48" s="116"/>
      <c r="Q48" s="116"/>
      <c r="R48" s="116"/>
      <c r="S48" s="116"/>
      <c r="T48" s="116"/>
      <c r="U48" s="116"/>
      <c r="V48" s="116"/>
      <c r="W48" s="116"/>
      <c r="X48" s="116"/>
      <c r="Y48" s="116"/>
      <c r="Z48" s="116"/>
      <c r="AA48" s="116"/>
      <c r="AB48" s="116"/>
      <c r="AC48" s="116"/>
    </row>
    <row r="49" spans="2:29" x14ac:dyDescent="0.3">
      <c r="B49" s="116"/>
      <c r="C49" s="116"/>
      <c r="D49" s="116"/>
      <c r="E49" s="116"/>
      <c r="F49" s="116"/>
      <c r="G49" s="116"/>
      <c r="H49" s="116"/>
      <c r="I49" s="116"/>
      <c r="J49" s="116"/>
      <c r="K49" s="116"/>
      <c r="L49" s="116"/>
      <c r="M49" s="116"/>
      <c r="N49" s="116"/>
      <c r="O49" s="116"/>
      <c r="P49" s="116"/>
      <c r="Q49" s="116"/>
      <c r="R49" s="116"/>
      <c r="S49" s="116"/>
      <c r="T49" s="116"/>
      <c r="U49" s="116"/>
      <c r="V49" s="116"/>
      <c r="W49" s="116"/>
      <c r="X49" s="116"/>
      <c r="Y49" s="116"/>
      <c r="Z49" s="116"/>
      <c r="AA49" s="116"/>
      <c r="AB49" s="116"/>
      <c r="AC49" s="116"/>
    </row>
    <row r="50" spans="2:29" x14ac:dyDescent="0.3">
      <c r="B50" s="116"/>
      <c r="C50" s="116"/>
      <c r="D50" s="116"/>
      <c r="E50" s="116"/>
      <c r="F50" s="116"/>
      <c r="G50" s="116"/>
      <c r="H50" s="116"/>
      <c r="I50" s="116"/>
      <c r="J50" s="116"/>
      <c r="K50" s="116"/>
      <c r="L50" s="116"/>
      <c r="M50" s="116"/>
      <c r="N50" s="116"/>
      <c r="O50" s="116"/>
      <c r="P50" s="116"/>
      <c r="Q50" s="116"/>
      <c r="R50" s="116"/>
      <c r="S50" s="116"/>
      <c r="T50" s="116"/>
      <c r="U50" s="116"/>
      <c r="V50" s="116"/>
      <c r="W50" s="116"/>
      <c r="X50" s="116"/>
      <c r="Y50" s="116"/>
      <c r="Z50" s="116"/>
      <c r="AA50" s="116"/>
      <c r="AB50" s="116"/>
      <c r="AC50" s="116"/>
    </row>
    <row r="51" spans="2:29" x14ac:dyDescent="0.3">
      <c r="B51" s="116"/>
      <c r="C51" s="116"/>
      <c r="D51" s="116"/>
      <c r="E51" s="116"/>
      <c r="F51" s="116"/>
      <c r="G51" s="116"/>
      <c r="H51" s="116"/>
      <c r="I51" s="116"/>
      <c r="J51" s="116"/>
      <c r="K51" s="116"/>
      <c r="L51" s="116"/>
      <c r="M51" s="116"/>
      <c r="N51" s="116"/>
      <c r="O51" s="116"/>
      <c r="P51" s="116"/>
      <c r="Q51" s="116"/>
      <c r="R51" s="116"/>
      <c r="S51" s="116"/>
      <c r="T51" s="116"/>
      <c r="U51" s="116"/>
      <c r="V51" s="116"/>
      <c r="W51" s="116"/>
      <c r="X51" s="116"/>
      <c r="Y51" s="116"/>
      <c r="Z51" s="116"/>
      <c r="AA51" s="116"/>
      <c r="AB51" s="116"/>
      <c r="AC51" s="116"/>
    </row>
    <row r="52" spans="2:29" x14ac:dyDescent="0.3">
      <c r="B52" s="116"/>
      <c r="C52" s="116"/>
      <c r="D52" s="116"/>
      <c r="E52" s="116"/>
      <c r="F52" s="116"/>
      <c r="G52" s="116"/>
      <c r="H52" s="116"/>
      <c r="I52" s="116"/>
      <c r="J52" s="116"/>
      <c r="K52" s="116"/>
      <c r="L52" s="116"/>
      <c r="M52" s="116"/>
      <c r="N52" s="116"/>
      <c r="O52" s="116"/>
      <c r="P52" s="116"/>
      <c r="Q52" s="116"/>
      <c r="R52" s="116"/>
      <c r="S52" s="116"/>
      <c r="T52" s="116"/>
      <c r="U52" s="116"/>
      <c r="V52" s="116"/>
      <c r="W52" s="116"/>
      <c r="X52" s="116"/>
      <c r="Y52" s="116"/>
      <c r="Z52" s="116"/>
      <c r="AA52" s="116"/>
      <c r="AB52" s="116"/>
      <c r="AC52" s="116"/>
    </row>
    <row r="53" spans="2:29" x14ac:dyDescent="0.3">
      <c r="B53" s="116"/>
      <c r="C53" s="116"/>
      <c r="D53" s="116"/>
      <c r="E53" s="116"/>
      <c r="F53" s="116"/>
      <c r="G53" s="116"/>
      <c r="H53" s="116"/>
      <c r="I53" s="116"/>
      <c r="J53" s="116"/>
      <c r="K53" s="116"/>
      <c r="L53" s="116"/>
      <c r="M53" s="116"/>
      <c r="N53" s="116"/>
      <c r="O53" s="116"/>
      <c r="P53" s="116"/>
      <c r="Q53" s="116"/>
      <c r="R53" s="116"/>
      <c r="S53" s="116"/>
      <c r="T53" s="116"/>
      <c r="U53" s="116"/>
      <c r="V53" s="116"/>
      <c r="W53" s="116"/>
      <c r="X53" s="116"/>
      <c r="Y53" s="116"/>
      <c r="Z53" s="116"/>
      <c r="AA53" s="116"/>
      <c r="AB53" s="116"/>
      <c r="AC53" s="116"/>
    </row>
    <row r="54" spans="2:29" x14ac:dyDescent="0.3">
      <c r="B54" s="116"/>
      <c r="C54" s="116"/>
      <c r="D54" s="116"/>
      <c r="E54" s="116"/>
      <c r="F54" s="116"/>
      <c r="G54" s="116"/>
      <c r="H54" s="116"/>
      <c r="I54" s="116"/>
      <c r="J54" s="116"/>
      <c r="K54" s="116"/>
      <c r="L54" s="116"/>
      <c r="M54" s="116"/>
      <c r="N54" s="116"/>
      <c r="O54" s="116"/>
      <c r="P54" s="116"/>
      <c r="Q54" s="116"/>
      <c r="R54" s="116"/>
      <c r="S54" s="116"/>
      <c r="T54" s="116"/>
      <c r="U54" s="116"/>
      <c r="V54" s="116"/>
      <c r="W54" s="116"/>
      <c r="X54" s="116"/>
      <c r="Y54" s="116"/>
      <c r="Z54" s="116"/>
      <c r="AA54" s="116"/>
      <c r="AB54" s="116"/>
      <c r="AC54" s="116"/>
    </row>
    <row r="55" spans="2:29" x14ac:dyDescent="0.3">
      <c r="B55" s="116"/>
      <c r="C55" s="116"/>
      <c r="D55" s="116"/>
      <c r="E55" s="116"/>
      <c r="F55" s="116"/>
      <c r="G55" s="116"/>
      <c r="H55" s="116"/>
      <c r="I55" s="116"/>
      <c r="J55" s="116"/>
      <c r="K55" s="116"/>
      <c r="L55" s="116"/>
      <c r="M55" s="116"/>
      <c r="N55" s="116"/>
      <c r="O55" s="116"/>
      <c r="P55" s="116"/>
      <c r="Q55" s="116"/>
      <c r="R55" s="116"/>
      <c r="S55" s="116"/>
      <c r="T55" s="116"/>
      <c r="U55" s="116"/>
      <c r="V55" s="116"/>
      <c r="W55" s="116"/>
      <c r="X55" s="116"/>
      <c r="Y55" s="116"/>
      <c r="Z55" s="116"/>
      <c r="AA55" s="116"/>
      <c r="AB55" s="116"/>
      <c r="AC55" s="116"/>
    </row>
    <row r="56" spans="2:29" x14ac:dyDescent="0.3">
      <c r="B56" s="116"/>
      <c r="C56" s="116"/>
      <c r="D56" s="116"/>
      <c r="E56" s="116"/>
      <c r="F56" s="116"/>
      <c r="G56" s="116"/>
      <c r="H56" s="116"/>
      <c r="I56" s="116"/>
      <c r="J56" s="116"/>
      <c r="K56" s="116"/>
      <c r="L56" s="116"/>
      <c r="M56" s="116"/>
      <c r="N56" s="116"/>
      <c r="O56" s="116"/>
      <c r="P56" s="116"/>
      <c r="Q56" s="116"/>
      <c r="R56" s="116"/>
      <c r="S56" s="116"/>
      <c r="T56" s="116"/>
      <c r="U56" s="116"/>
      <c r="V56" s="116"/>
      <c r="W56" s="116"/>
      <c r="X56" s="116"/>
      <c r="Y56" s="116"/>
      <c r="Z56" s="116"/>
      <c r="AA56" s="116"/>
      <c r="AB56" s="116"/>
      <c r="AC56" s="116"/>
    </row>
    <row r="57" spans="2:29" x14ac:dyDescent="0.3">
      <c r="B57" s="116"/>
      <c r="C57" s="116"/>
      <c r="D57" s="116"/>
      <c r="E57" s="116"/>
      <c r="F57" s="116"/>
      <c r="G57" s="116"/>
      <c r="H57" s="116"/>
      <c r="I57" s="116"/>
      <c r="J57" s="116"/>
      <c r="K57" s="116"/>
      <c r="L57" s="116"/>
      <c r="M57" s="116"/>
      <c r="N57" s="116"/>
      <c r="O57" s="116"/>
      <c r="P57" s="116"/>
      <c r="Q57" s="116"/>
      <c r="R57" s="116"/>
      <c r="S57" s="116"/>
      <c r="T57" s="116"/>
      <c r="U57" s="116"/>
      <c r="V57" s="116"/>
      <c r="W57" s="116"/>
      <c r="X57" s="116"/>
      <c r="Y57" s="116"/>
      <c r="Z57" s="116"/>
      <c r="AA57" s="116"/>
      <c r="AB57" s="116"/>
      <c r="AC57" s="116"/>
    </row>
    <row r="58" spans="2:29" x14ac:dyDescent="0.3">
      <c r="B58" s="116"/>
      <c r="C58" s="116"/>
      <c r="D58" s="116"/>
      <c r="E58" s="116"/>
      <c r="F58" s="116"/>
      <c r="G58" s="116"/>
      <c r="H58" s="116"/>
      <c r="I58" s="116"/>
      <c r="J58" s="116"/>
      <c r="K58" s="116"/>
      <c r="L58" s="116"/>
      <c r="M58" s="116"/>
      <c r="N58" s="116"/>
      <c r="O58" s="116"/>
      <c r="P58" s="116"/>
      <c r="Q58" s="116"/>
      <c r="R58" s="116"/>
      <c r="S58" s="116"/>
      <c r="T58" s="116"/>
      <c r="U58" s="116"/>
      <c r="V58" s="116"/>
      <c r="W58" s="116"/>
      <c r="X58" s="116"/>
      <c r="Y58" s="116"/>
      <c r="Z58" s="116"/>
      <c r="AA58" s="116"/>
      <c r="AB58" s="116"/>
      <c r="AC58" s="116"/>
    </row>
    <row r="59" spans="2:29" x14ac:dyDescent="0.3">
      <c r="B59" s="116"/>
      <c r="C59" s="116"/>
      <c r="D59" s="116"/>
      <c r="E59" s="116"/>
      <c r="F59" s="116"/>
      <c r="G59" s="116"/>
      <c r="H59" s="116"/>
      <c r="I59" s="116"/>
      <c r="J59" s="116"/>
      <c r="K59" s="116"/>
      <c r="L59" s="116"/>
      <c r="M59" s="116"/>
      <c r="N59" s="116"/>
      <c r="O59" s="116"/>
      <c r="P59" s="116"/>
      <c r="Q59" s="116"/>
      <c r="R59" s="116"/>
      <c r="S59" s="116"/>
      <c r="T59" s="116"/>
      <c r="U59" s="116"/>
      <c r="V59" s="116"/>
      <c r="W59" s="116"/>
      <c r="X59" s="116"/>
      <c r="Y59" s="116"/>
      <c r="Z59" s="116"/>
      <c r="AA59" s="116"/>
      <c r="AB59" s="116"/>
      <c r="AC59" s="116"/>
    </row>
    <row r="60" spans="2:29" x14ac:dyDescent="0.3">
      <c r="B60" s="116"/>
      <c r="C60" s="116"/>
      <c r="D60" s="116"/>
      <c r="E60" s="116"/>
      <c r="F60" s="116"/>
      <c r="G60" s="116"/>
      <c r="H60" s="116"/>
      <c r="I60" s="116"/>
      <c r="J60" s="116"/>
      <c r="K60" s="116"/>
      <c r="L60" s="116"/>
      <c r="M60" s="116"/>
      <c r="N60" s="116"/>
      <c r="O60" s="116"/>
      <c r="P60" s="116"/>
      <c r="Q60" s="116"/>
      <c r="R60" s="116"/>
      <c r="S60" s="116"/>
      <c r="T60" s="116"/>
      <c r="U60" s="116"/>
      <c r="V60" s="116"/>
      <c r="W60" s="116"/>
      <c r="X60" s="116"/>
      <c r="Y60" s="116"/>
      <c r="Z60" s="116"/>
      <c r="AA60" s="116"/>
      <c r="AB60" s="116"/>
      <c r="AC60" s="116"/>
    </row>
    <row r="61" spans="2:29" x14ac:dyDescent="0.3">
      <c r="B61" s="116"/>
      <c r="C61" s="116"/>
      <c r="D61" s="116"/>
      <c r="E61" s="116"/>
      <c r="F61" s="116"/>
      <c r="G61" s="116"/>
      <c r="H61" s="116"/>
      <c r="I61" s="116"/>
      <c r="J61" s="116"/>
      <c r="K61" s="116"/>
      <c r="L61" s="116"/>
      <c r="M61" s="116"/>
      <c r="N61" s="116"/>
      <c r="O61" s="116"/>
      <c r="P61" s="116"/>
      <c r="Q61" s="116"/>
      <c r="R61" s="116"/>
      <c r="S61" s="116"/>
      <c r="T61" s="116"/>
      <c r="U61" s="116"/>
      <c r="V61" s="116"/>
      <c r="W61" s="116"/>
      <c r="X61" s="116"/>
      <c r="Y61" s="116"/>
      <c r="Z61" s="116"/>
      <c r="AA61" s="116"/>
      <c r="AB61" s="116"/>
      <c r="AC61" s="116"/>
    </row>
    <row r="62" spans="2:29" x14ac:dyDescent="0.3">
      <c r="B62" s="116"/>
      <c r="C62" s="116"/>
      <c r="D62" s="116"/>
      <c r="E62" s="116"/>
      <c r="F62" s="116"/>
      <c r="G62" s="116"/>
      <c r="H62" s="116"/>
      <c r="I62" s="116"/>
      <c r="J62" s="116"/>
      <c r="K62" s="116"/>
      <c r="L62" s="116"/>
      <c r="M62" s="116"/>
      <c r="N62" s="116"/>
      <c r="O62" s="116"/>
      <c r="P62" s="116"/>
      <c r="Q62" s="116"/>
      <c r="R62" s="116"/>
      <c r="S62" s="116"/>
      <c r="T62" s="116"/>
      <c r="U62" s="116"/>
      <c r="V62" s="116"/>
      <c r="W62" s="116"/>
      <c r="X62" s="116"/>
      <c r="Y62" s="116"/>
      <c r="Z62" s="116"/>
      <c r="AA62" s="116"/>
      <c r="AB62" s="116"/>
      <c r="AC62" s="116"/>
    </row>
    <row r="63" spans="2:29" x14ac:dyDescent="0.3">
      <c r="B63" s="116"/>
      <c r="C63" s="116"/>
      <c r="D63" s="116"/>
      <c r="E63" s="116"/>
      <c r="F63" s="116"/>
      <c r="G63" s="116"/>
      <c r="H63" s="116"/>
      <c r="I63" s="116"/>
      <c r="J63" s="116"/>
      <c r="K63" s="116"/>
      <c r="L63" s="116"/>
      <c r="M63" s="116"/>
      <c r="N63" s="116"/>
      <c r="O63" s="116"/>
      <c r="P63" s="116"/>
      <c r="Q63" s="116"/>
      <c r="R63" s="116"/>
      <c r="S63" s="116"/>
      <c r="T63" s="116"/>
      <c r="U63" s="116"/>
      <c r="V63" s="116"/>
      <c r="W63" s="116"/>
      <c r="X63" s="116"/>
      <c r="Y63" s="116"/>
      <c r="Z63" s="116"/>
      <c r="AA63" s="116"/>
      <c r="AB63" s="116"/>
      <c r="AC63" s="116"/>
    </row>
    <row r="64" spans="2:29" x14ac:dyDescent="0.3">
      <c r="B64" s="116"/>
      <c r="C64" s="116"/>
      <c r="D64" s="116"/>
      <c r="E64" s="116"/>
      <c r="F64" s="116"/>
      <c r="G64" s="116"/>
      <c r="H64" s="116"/>
      <c r="I64" s="116"/>
      <c r="J64" s="116"/>
      <c r="K64" s="116"/>
      <c r="L64" s="116"/>
      <c r="M64" s="116"/>
      <c r="N64" s="116"/>
      <c r="O64" s="116"/>
      <c r="P64" s="116"/>
      <c r="Q64" s="116"/>
      <c r="R64" s="116"/>
      <c r="S64" s="116"/>
      <c r="T64" s="116"/>
      <c r="U64" s="116"/>
      <c r="V64" s="116"/>
      <c r="W64" s="116"/>
      <c r="X64" s="116"/>
      <c r="Y64" s="116"/>
      <c r="Z64" s="116"/>
      <c r="AA64" s="116"/>
      <c r="AB64" s="116"/>
      <c r="AC64" s="116"/>
    </row>
    <row r="65" spans="2:29" x14ac:dyDescent="0.3">
      <c r="B65" s="116"/>
      <c r="C65" s="116"/>
      <c r="D65" s="116"/>
      <c r="E65" s="116"/>
      <c r="F65" s="116"/>
      <c r="G65" s="116"/>
      <c r="H65" s="116"/>
      <c r="I65" s="116"/>
      <c r="J65" s="116"/>
      <c r="K65" s="116"/>
      <c r="L65" s="116"/>
      <c r="M65" s="116"/>
      <c r="N65" s="116"/>
      <c r="O65" s="116"/>
      <c r="P65" s="116"/>
      <c r="Q65" s="116"/>
      <c r="R65" s="116"/>
      <c r="S65" s="116"/>
      <c r="T65" s="116"/>
      <c r="U65" s="116"/>
      <c r="V65" s="116"/>
      <c r="W65" s="116"/>
      <c r="X65" s="116"/>
      <c r="Y65" s="116"/>
      <c r="Z65" s="116"/>
      <c r="AA65" s="116"/>
      <c r="AB65" s="116"/>
      <c r="AC65" s="116"/>
    </row>
    <row r="66" spans="2:29" x14ac:dyDescent="0.3">
      <c r="B66" s="116"/>
      <c r="C66" s="116"/>
      <c r="D66" s="116"/>
      <c r="E66" s="116"/>
      <c r="F66" s="116"/>
      <c r="G66" s="116"/>
      <c r="H66" s="116"/>
      <c r="I66" s="116"/>
      <c r="J66" s="116"/>
      <c r="K66" s="116"/>
      <c r="L66" s="116"/>
      <c r="M66" s="116"/>
      <c r="N66" s="116"/>
      <c r="O66" s="116"/>
      <c r="P66" s="116"/>
      <c r="Q66" s="116"/>
      <c r="R66" s="116"/>
      <c r="S66" s="116"/>
      <c r="T66" s="116"/>
      <c r="U66" s="116"/>
      <c r="V66" s="116"/>
      <c r="W66" s="116"/>
      <c r="X66" s="116"/>
      <c r="Y66" s="116"/>
      <c r="Z66" s="116"/>
      <c r="AA66" s="116"/>
      <c r="AB66" s="116"/>
      <c r="AC66" s="116"/>
    </row>
    <row r="67" spans="2:29" x14ac:dyDescent="0.3">
      <c r="B67" s="116"/>
      <c r="C67" s="116"/>
      <c r="D67" s="116"/>
      <c r="E67" s="116"/>
      <c r="F67" s="116"/>
      <c r="G67" s="116"/>
      <c r="H67" s="116"/>
      <c r="I67" s="116"/>
      <c r="J67" s="116"/>
      <c r="K67" s="116"/>
      <c r="L67" s="116"/>
      <c r="M67" s="116"/>
      <c r="N67" s="116"/>
      <c r="O67" s="116"/>
      <c r="P67" s="116"/>
      <c r="Q67" s="116"/>
      <c r="R67" s="116"/>
      <c r="S67" s="116"/>
      <c r="T67" s="116"/>
      <c r="U67" s="116"/>
      <c r="V67" s="116"/>
      <c r="W67" s="116"/>
      <c r="X67" s="116"/>
      <c r="Y67" s="116"/>
      <c r="Z67" s="116"/>
      <c r="AA67" s="116"/>
      <c r="AB67" s="116"/>
      <c r="AC67" s="116"/>
    </row>
    <row r="68" spans="2:29" x14ac:dyDescent="0.3">
      <c r="B68" s="116"/>
      <c r="C68" s="116"/>
      <c r="D68" s="116"/>
      <c r="E68" s="116"/>
      <c r="F68" s="116"/>
      <c r="G68" s="116"/>
      <c r="H68" s="116"/>
      <c r="I68" s="116"/>
      <c r="J68" s="116"/>
      <c r="K68" s="116"/>
      <c r="L68" s="116"/>
      <c r="M68" s="116"/>
      <c r="N68" s="116"/>
      <c r="O68" s="116"/>
      <c r="P68" s="116"/>
      <c r="Q68" s="116"/>
      <c r="R68" s="116"/>
      <c r="S68" s="116"/>
      <c r="T68" s="116"/>
      <c r="U68" s="116"/>
      <c r="V68" s="116"/>
      <c r="W68" s="116"/>
      <c r="X68" s="116"/>
      <c r="Y68" s="116"/>
      <c r="Z68" s="116"/>
      <c r="AA68" s="116"/>
      <c r="AB68" s="116"/>
      <c r="AC68" s="116"/>
    </row>
    <row r="69" spans="2:29" x14ac:dyDescent="0.3">
      <c r="B69" s="116"/>
      <c r="C69" s="116"/>
      <c r="D69" s="116"/>
      <c r="E69" s="116"/>
      <c r="F69" s="116"/>
      <c r="G69" s="116"/>
      <c r="H69" s="116"/>
      <c r="I69" s="116"/>
      <c r="J69" s="116"/>
      <c r="K69" s="116"/>
      <c r="L69" s="116"/>
      <c r="M69" s="116"/>
      <c r="N69" s="116"/>
      <c r="O69" s="116"/>
      <c r="P69" s="116"/>
      <c r="Q69" s="116"/>
      <c r="R69" s="116"/>
      <c r="S69" s="116"/>
      <c r="T69" s="116"/>
      <c r="U69" s="116"/>
      <c r="V69" s="116"/>
      <c r="W69" s="116"/>
      <c r="X69" s="116"/>
      <c r="Y69" s="116"/>
      <c r="Z69" s="116"/>
      <c r="AA69" s="116"/>
      <c r="AB69" s="116"/>
      <c r="AC69" s="116"/>
    </row>
    <row r="70" spans="2:29" x14ac:dyDescent="0.3">
      <c r="B70" s="116"/>
      <c r="C70" s="116"/>
      <c r="D70" s="116"/>
      <c r="E70" s="116"/>
      <c r="F70" s="116"/>
      <c r="G70" s="116"/>
      <c r="H70" s="116"/>
      <c r="I70" s="116"/>
      <c r="J70" s="116"/>
      <c r="K70" s="116"/>
      <c r="L70" s="116"/>
      <c r="M70" s="116"/>
      <c r="N70" s="116"/>
      <c r="O70" s="116"/>
      <c r="P70" s="116"/>
      <c r="Q70" s="116"/>
      <c r="R70" s="116"/>
      <c r="S70" s="116"/>
      <c r="T70" s="116"/>
      <c r="U70" s="116"/>
      <c r="V70" s="116"/>
      <c r="W70" s="116"/>
      <c r="X70" s="116"/>
      <c r="Y70" s="116"/>
      <c r="Z70" s="116"/>
      <c r="AA70" s="116"/>
      <c r="AB70" s="116"/>
      <c r="AC70" s="116"/>
    </row>
    <row r="71" spans="2:29" x14ac:dyDescent="0.3">
      <c r="B71" s="116"/>
      <c r="C71" s="116"/>
      <c r="D71" s="116"/>
      <c r="E71" s="116"/>
      <c r="F71" s="116"/>
      <c r="G71" s="116"/>
      <c r="H71" s="116"/>
      <c r="I71" s="116"/>
      <c r="J71" s="116"/>
      <c r="K71" s="116"/>
      <c r="L71" s="116"/>
      <c r="M71" s="116"/>
      <c r="N71" s="116"/>
      <c r="O71" s="116"/>
      <c r="P71" s="116"/>
      <c r="Q71" s="116"/>
      <c r="R71" s="116"/>
      <c r="S71" s="116"/>
      <c r="T71" s="116"/>
      <c r="U71" s="116"/>
      <c r="V71" s="116"/>
      <c r="W71" s="116"/>
      <c r="X71" s="116"/>
      <c r="Y71" s="116"/>
      <c r="Z71" s="116"/>
      <c r="AA71" s="116"/>
      <c r="AB71" s="116"/>
      <c r="AC71" s="116"/>
    </row>
    <row r="72" spans="2:29" x14ac:dyDescent="0.3">
      <c r="B72" s="116"/>
      <c r="C72" s="116"/>
      <c r="D72" s="116"/>
      <c r="E72" s="116"/>
      <c r="F72" s="116"/>
      <c r="G72" s="116"/>
      <c r="H72" s="116"/>
      <c r="I72" s="116"/>
      <c r="J72" s="116"/>
      <c r="K72" s="116"/>
      <c r="L72" s="116"/>
      <c r="M72" s="116"/>
      <c r="N72" s="116"/>
      <c r="O72" s="116"/>
      <c r="P72" s="116"/>
      <c r="Q72" s="116"/>
      <c r="R72" s="116"/>
      <c r="S72" s="116"/>
      <c r="T72" s="116"/>
      <c r="U72" s="116"/>
      <c r="V72" s="116"/>
      <c r="W72" s="116"/>
      <c r="X72" s="116"/>
      <c r="Y72" s="116"/>
      <c r="Z72" s="116"/>
      <c r="AA72" s="116"/>
      <c r="AB72" s="116"/>
      <c r="AC72" s="116"/>
    </row>
    <row r="73" spans="2:29" x14ac:dyDescent="0.3">
      <c r="B73" s="116"/>
      <c r="C73" s="116"/>
      <c r="D73" s="116"/>
      <c r="E73" s="116"/>
      <c r="F73" s="116"/>
      <c r="G73" s="116"/>
      <c r="H73" s="116"/>
      <c r="I73" s="116"/>
      <c r="J73" s="116"/>
      <c r="K73" s="116"/>
      <c r="L73" s="116"/>
      <c r="M73" s="116"/>
      <c r="N73" s="116"/>
      <c r="O73" s="116"/>
      <c r="P73" s="116"/>
      <c r="Q73" s="116"/>
      <c r="R73" s="116"/>
      <c r="S73" s="116"/>
      <c r="T73" s="116"/>
      <c r="U73" s="116"/>
      <c r="V73" s="116"/>
      <c r="W73" s="116"/>
      <c r="X73" s="116"/>
      <c r="Y73" s="116"/>
      <c r="Z73" s="116"/>
      <c r="AA73" s="116"/>
      <c r="AB73" s="116"/>
      <c r="AC73" s="116"/>
    </row>
    <row r="74" spans="2:29" x14ac:dyDescent="0.3">
      <c r="B74" s="116"/>
      <c r="C74" s="116"/>
      <c r="D74" s="116"/>
      <c r="E74" s="116"/>
      <c r="F74" s="116"/>
      <c r="G74" s="116"/>
      <c r="H74" s="116"/>
      <c r="I74" s="116"/>
      <c r="J74" s="116"/>
      <c r="K74" s="116"/>
      <c r="L74" s="116"/>
      <c r="M74" s="116"/>
      <c r="N74" s="116"/>
      <c r="O74" s="116"/>
      <c r="P74" s="116"/>
      <c r="Q74" s="116"/>
      <c r="R74" s="116"/>
      <c r="S74" s="116"/>
      <c r="T74" s="116"/>
      <c r="U74" s="116"/>
      <c r="V74" s="116"/>
      <c r="W74" s="116"/>
      <c r="X74" s="116"/>
      <c r="Y74" s="116"/>
      <c r="Z74" s="116"/>
      <c r="AA74" s="116"/>
      <c r="AB74" s="116"/>
      <c r="AC74" s="116"/>
    </row>
    <row r="75" spans="2:29" x14ac:dyDescent="0.3">
      <c r="B75" s="116"/>
      <c r="C75" s="116"/>
      <c r="D75" s="116"/>
      <c r="E75" s="116"/>
      <c r="F75" s="116"/>
      <c r="G75" s="116"/>
      <c r="H75" s="116"/>
      <c r="I75" s="116"/>
      <c r="J75" s="116"/>
      <c r="K75" s="116"/>
      <c r="L75" s="116"/>
      <c r="M75" s="116"/>
      <c r="N75" s="116"/>
      <c r="O75" s="116"/>
      <c r="P75" s="116"/>
      <c r="Q75" s="116"/>
      <c r="R75" s="116"/>
      <c r="S75" s="116"/>
      <c r="T75" s="116"/>
      <c r="U75" s="116"/>
      <c r="V75" s="116"/>
      <c r="W75" s="116"/>
      <c r="X75" s="116"/>
      <c r="Y75" s="116"/>
      <c r="Z75" s="116"/>
      <c r="AA75" s="116"/>
      <c r="AB75" s="116"/>
      <c r="AC75" s="116"/>
    </row>
    <row r="76" spans="2:29" x14ac:dyDescent="0.3">
      <c r="B76" s="116"/>
      <c r="C76" s="116"/>
      <c r="D76" s="116"/>
      <c r="E76" s="116"/>
      <c r="F76" s="116"/>
      <c r="G76" s="116"/>
      <c r="H76" s="116"/>
      <c r="I76" s="116"/>
      <c r="J76" s="116"/>
      <c r="K76" s="116"/>
      <c r="L76" s="116"/>
      <c r="M76" s="116"/>
      <c r="N76" s="116"/>
      <c r="O76" s="116"/>
      <c r="P76" s="116"/>
      <c r="Q76" s="116"/>
      <c r="R76" s="116"/>
      <c r="S76" s="116"/>
      <c r="T76" s="116"/>
      <c r="U76" s="116"/>
      <c r="V76" s="116"/>
      <c r="W76" s="116"/>
      <c r="X76" s="116"/>
      <c r="Y76" s="116"/>
      <c r="Z76" s="116"/>
      <c r="AA76" s="116"/>
      <c r="AB76" s="116"/>
      <c r="AC76" s="116"/>
    </row>
    <row r="77" spans="2:29" x14ac:dyDescent="0.3">
      <c r="B77" s="116"/>
      <c r="C77" s="116"/>
      <c r="D77" s="116"/>
      <c r="E77" s="116"/>
      <c r="F77" s="116"/>
      <c r="G77" s="116"/>
      <c r="H77" s="116"/>
      <c r="I77" s="116"/>
      <c r="J77" s="116"/>
      <c r="K77" s="116"/>
      <c r="L77" s="116"/>
      <c r="M77" s="116"/>
      <c r="N77" s="116"/>
      <c r="O77" s="116"/>
      <c r="P77" s="116"/>
      <c r="Q77" s="116"/>
      <c r="R77" s="116"/>
      <c r="S77" s="116"/>
      <c r="T77" s="116"/>
      <c r="U77" s="116"/>
      <c r="V77" s="116"/>
      <c r="W77" s="116"/>
      <c r="X77" s="116"/>
      <c r="Y77" s="116"/>
      <c r="Z77" s="116"/>
      <c r="AA77" s="116"/>
      <c r="AB77" s="116"/>
      <c r="AC77" s="116"/>
    </row>
    <row r="78" spans="2:29" x14ac:dyDescent="0.3">
      <c r="B78" s="116"/>
      <c r="C78" s="116"/>
      <c r="D78" s="116"/>
      <c r="E78" s="116"/>
      <c r="F78" s="116"/>
      <c r="G78" s="116"/>
      <c r="H78" s="116"/>
      <c r="I78" s="116"/>
      <c r="J78" s="116"/>
      <c r="K78" s="116"/>
      <c r="L78" s="116"/>
      <c r="M78" s="116"/>
      <c r="N78" s="116"/>
      <c r="O78" s="116"/>
      <c r="P78" s="116"/>
      <c r="Q78" s="116"/>
      <c r="R78" s="116"/>
      <c r="S78" s="116"/>
      <c r="T78" s="116"/>
      <c r="U78" s="116"/>
      <c r="V78" s="116"/>
      <c r="W78" s="116"/>
      <c r="X78" s="116"/>
      <c r="Y78" s="116"/>
      <c r="Z78" s="116"/>
      <c r="AA78" s="116"/>
      <c r="AB78" s="116"/>
      <c r="AC78" s="116"/>
    </row>
    <row r="79" spans="2:29" x14ac:dyDescent="0.3">
      <c r="B79" s="116"/>
      <c r="C79" s="116"/>
      <c r="D79" s="116"/>
      <c r="E79" s="116"/>
      <c r="F79" s="116"/>
      <c r="G79" s="116"/>
      <c r="H79" s="116"/>
      <c r="I79" s="116"/>
      <c r="J79" s="116"/>
      <c r="K79" s="116"/>
      <c r="L79" s="116"/>
      <c r="M79" s="116"/>
      <c r="N79" s="116"/>
      <c r="O79" s="116"/>
      <c r="P79" s="116"/>
      <c r="Q79" s="116"/>
      <c r="R79" s="116"/>
      <c r="S79" s="116"/>
      <c r="T79" s="116"/>
      <c r="U79" s="116"/>
      <c r="V79" s="116"/>
      <c r="W79" s="116"/>
      <c r="X79" s="116"/>
      <c r="Y79" s="116"/>
      <c r="Z79" s="116"/>
      <c r="AA79" s="116"/>
      <c r="AB79" s="116"/>
      <c r="AC79" s="116"/>
    </row>
    <row r="80" spans="2:29" x14ac:dyDescent="0.3">
      <c r="B80" s="116"/>
      <c r="C80" s="116"/>
      <c r="D80" s="116"/>
      <c r="E80" s="116"/>
      <c r="F80" s="116"/>
      <c r="G80" s="116"/>
      <c r="H80" s="116"/>
      <c r="I80" s="116"/>
      <c r="J80" s="116"/>
      <c r="K80" s="116"/>
      <c r="L80" s="116"/>
      <c r="M80" s="116"/>
      <c r="N80" s="116"/>
      <c r="O80" s="116"/>
      <c r="P80" s="116"/>
      <c r="Q80" s="116"/>
      <c r="R80" s="116"/>
      <c r="S80" s="116"/>
      <c r="T80" s="116"/>
      <c r="U80" s="116"/>
      <c r="V80" s="116"/>
      <c r="W80" s="116"/>
      <c r="X80" s="116"/>
      <c r="Y80" s="116"/>
      <c r="Z80" s="116"/>
      <c r="AA80" s="116"/>
      <c r="AB80" s="116"/>
      <c r="AC80" s="116"/>
    </row>
    <row r="81" spans="2:29" x14ac:dyDescent="0.3">
      <c r="B81" s="116"/>
      <c r="C81" s="116"/>
      <c r="D81" s="116"/>
      <c r="E81" s="116"/>
      <c r="F81" s="116"/>
      <c r="G81" s="116"/>
      <c r="H81" s="116"/>
      <c r="I81" s="116"/>
      <c r="J81" s="116"/>
      <c r="K81" s="116"/>
      <c r="L81" s="116"/>
      <c r="M81" s="116"/>
      <c r="N81" s="116"/>
      <c r="O81" s="116"/>
      <c r="P81" s="116"/>
      <c r="Q81" s="116"/>
      <c r="R81" s="116"/>
      <c r="S81" s="116"/>
      <c r="T81" s="116"/>
      <c r="U81" s="116"/>
      <c r="V81" s="116"/>
      <c r="W81" s="116"/>
      <c r="X81" s="116"/>
      <c r="Y81" s="116"/>
      <c r="Z81" s="116"/>
      <c r="AA81" s="116"/>
      <c r="AB81" s="116"/>
      <c r="AC81" s="116"/>
    </row>
    <row r="82" spans="2:29" x14ac:dyDescent="0.3">
      <c r="B82" s="116"/>
      <c r="C82" s="116"/>
      <c r="D82" s="116"/>
      <c r="E82" s="116"/>
      <c r="F82" s="116"/>
      <c r="G82" s="116"/>
      <c r="H82" s="116"/>
      <c r="I82" s="116"/>
      <c r="J82" s="116"/>
      <c r="K82" s="116"/>
      <c r="L82" s="116"/>
      <c r="M82" s="116"/>
      <c r="N82" s="116"/>
      <c r="O82" s="116"/>
      <c r="P82" s="116"/>
      <c r="Q82" s="116"/>
      <c r="R82" s="116"/>
      <c r="S82" s="116"/>
      <c r="T82" s="116"/>
      <c r="U82" s="116"/>
      <c r="V82" s="116"/>
      <c r="W82" s="116"/>
      <c r="X82" s="116"/>
      <c r="Y82" s="116"/>
      <c r="Z82" s="116"/>
      <c r="AA82" s="116"/>
      <c r="AB82" s="116"/>
      <c r="AC82" s="116"/>
    </row>
    <row r="83" spans="2:29" x14ac:dyDescent="0.3">
      <c r="B83" s="116"/>
      <c r="C83" s="116"/>
      <c r="D83" s="116"/>
      <c r="E83" s="116"/>
      <c r="F83" s="116"/>
      <c r="G83" s="116"/>
      <c r="H83" s="116"/>
      <c r="I83" s="116"/>
      <c r="J83" s="116"/>
      <c r="K83" s="116"/>
      <c r="L83" s="116"/>
      <c r="M83" s="116"/>
      <c r="N83" s="116"/>
      <c r="O83" s="116"/>
      <c r="P83" s="116"/>
      <c r="Q83" s="116"/>
      <c r="R83" s="116"/>
      <c r="S83" s="116"/>
      <c r="T83" s="116"/>
      <c r="U83" s="116"/>
      <c r="V83" s="116"/>
      <c r="W83" s="116"/>
      <c r="X83" s="116"/>
      <c r="Y83" s="116"/>
      <c r="Z83" s="116"/>
      <c r="AA83" s="116"/>
      <c r="AB83" s="116"/>
      <c r="AC83" s="116"/>
    </row>
    <row r="84" spans="2:29" x14ac:dyDescent="0.3">
      <c r="B84" s="116"/>
      <c r="C84" s="116"/>
      <c r="D84" s="116"/>
      <c r="E84" s="116"/>
      <c r="F84" s="116"/>
      <c r="G84" s="116"/>
      <c r="H84" s="116"/>
      <c r="I84" s="116"/>
      <c r="J84" s="116"/>
      <c r="K84" s="116"/>
      <c r="L84" s="116"/>
      <c r="M84" s="116"/>
      <c r="N84" s="116"/>
      <c r="O84" s="116"/>
      <c r="P84" s="116"/>
      <c r="Q84" s="116"/>
      <c r="R84" s="116"/>
      <c r="S84" s="116"/>
      <c r="T84" s="116"/>
      <c r="U84" s="116"/>
      <c r="V84" s="116"/>
      <c r="W84" s="116"/>
      <c r="X84" s="116"/>
      <c r="Y84" s="116"/>
      <c r="Z84" s="116"/>
      <c r="AA84" s="116"/>
      <c r="AB84" s="116"/>
      <c r="AC84" s="116"/>
    </row>
    <row r="85" spans="2:29" x14ac:dyDescent="0.3">
      <c r="B85" s="116"/>
      <c r="C85" s="116"/>
      <c r="D85" s="116"/>
      <c r="E85" s="116"/>
      <c r="F85" s="116"/>
      <c r="G85" s="116"/>
      <c r="H85" s="116"/>
      <c r="I85" s="116"/>
      <c r="J85" s="116"/>
      <c r="K85" s="116"/>
      <c r="L85" s="116"/>
      <c r="M85" s="116"/>
      <c r="N85" s="116"/>
      <c r="O85" s="116"/>
      <c r="P85" s="116"/>
      <c r="Q85" s="116"/>
      <c r="R85" s="116"/>
      <c r="S85" s="116"/>
      <c r="T85" s="116"/>
      <c r="U85" s="116"/>
      <c r="V85" s="116"/>
      <c r="W85" s="116"/>
      <c r="X85" s="116"/>
      <c r="Y85" s="116"/>
      <c r="Z85" s="116"/>
      <c r="AA85" s="116"/>
      <c r="AB85" s="116"/>
      <c r="AC85" s="116"/>
    </row>
    <row r="86" spans="2:29" x14ac:dyDescent="0.3">
      <c r="B86" s="116"/>
      <c r="C86" s="116"/>
      <c r="D86" s="116"/>
      <c r="E86" s="116"/>
      <c r="F86" s="116"/>
      <c r="G86" s="116"/>
      <c r="H86" s="116"/>
      <c r="I86" s="116"/>
      <c r="J86" s="116"/>
      <c r="K86" s="116"/>
      <c r="L86" s="116"/>
      <c r="M86" s="116"/>
      <c r="N86" s="116"/>
      <c r="O86" s="116"/>
      <c r="P86" s="116"/>
      <c r="Q86" s="116"/>
      <c r="R86" s="116"/>
      <c r="S86" s="116"/>
      <c r="T86" s="116"/>
      <c r="U86" s="116"/>
      <c r="V86" s="116"/>
      <c r="W86" s="116"/>
      <c r="X86" s="116"/>
      <c r="Y86" s="116"/>
      <c r="Z86" s="116"/>
      <c r="AA86" s="116"/>
      <c r="AB86" s="116"/>
      <c r="AC86" s="116"/>
    </row>
    <row r="87" spans="2:29" x14ac:dyDescent="0.3">
      <c r="B87" s="116"/>
      <c r="C87" s="116"/>
      <c r="D87" s="116"/>
      <c r="E87" s="116"/>
      <c r="F87" s="116"/>
      <c r="G87" s="116"/>
      <c r="H87" s="116"/>
      <c r="I87" s="116"/>
      <c r="J87" s="116"/>
      <c r="K87" s="116"/>
      <c r="L87" s="116"/>
      <c r="M87" s="116"/>
      <c r="N87" s="116"/>
      <c r="O87" s="116"/>
      <c r="P87" s="116"/>
      <c r="Q87" s="116"/>
      <c r="R87" s="116"/>
      <c r="S87" s="116"/>
      <c r="T87" s="116"/>
      <c r="U87" s="116"/>
      <c r="V87" s="116"/>
      <c r="W87" s="116"/>
      <c r="X87" s="116"/>
      <c r="Y87" s="116"/>
      <c r="Z87" s="116"/>
      <c r="AA87" s="116"/>
      <c r="AB87" s="116"/>
      <c r="AC87" s="116"/>
    </row>
    <row r="88" spans="2:29" x14ac:dyDescent="0.3">
      <c r="B88" s="116"/>
      <c r="C88" s="116"/>
      <c r="D88" s="116"/>
      <c r="E88" s="116"/>
      <c r="F88" s="116"/>
      <c r="G88" s="116"/>
      <c r="H88" s="116"/>
      <c r="I88" s="116"/>
      <c r="J88" s="116"/>
      <c r="K88" s="116"/>
      <c r="L88" s="116"/>
      <c r="M88" s="116"/>
      <c r="N88" s="116"/>
      <c r="O88" s="116"/>
      <c r="P88" s="116"/>
      <c r="Q88" s="116"/>
      <c r="R88" s="116"/>
      <c r="S88" s="116"/>
      <c r="T88" s="116"/>
      <c r="U88" s="116"/>
      <c r="V88" s="116"/>
      <c r="W88" s="116"/>
      <c r="X88" s="116"/>
      <c r="Y88" s="116"/>
      <c r="Z88" s="116"/>
      <c r="AA88" s="116"/>
      <c r="AB88" s="116"/>
      <c r="AC88" s="116"/>
    </row>
    <row r="89" spans="2:29" x14ac:dyDescent="0.3">
      <c r="B89" s="116"/>
      <c r="C89" s="116"/>
      <c r="D89" s="116"/>
      <c r="E89" s="116"/>
      <c r="F89" s="116"/>
      <c r="G89" s="116"/>
      <c r="H89" s="116"/>
      <c r="I89" s="116"/>
      <c r="J89" s="116"/>
      <c r="K89" s="116"/>
      <c r="L89" s="116"/>
      <c r="M89" s="116"/>
      <c r="N89" s="116"/>
      <c r="O89" s="116"/>
      <c r="P89" s="116"/>
      <c r="Q89" s="116"/>
      <c r="R89" s="116"/>
      <c r="S89" s="116"/>
      <c r="T89" s="116"/>
      <c r="U89" s="116"/>
      <c r="V89" s="116"/>
      <c r="W89" s="116"/>
      <c r="X89" s="116"/>
      <c r="Y89" s="116"/>
      <c r="Z89" s="116"/>
      <c r="AA89" s="116"/>
      <c r="AB89" s="116"/>
      <c r="AC89" s="116"/>
    </row>
    <row r="90" spans="2:29" x14ac:dyDescent="0.3">
      <c r="B90" s="116"/>
      <c r="C90" s="116"/>
      <c r="D90" s="116"/>
      <c r="E90" s="116"/>
      <c r="F90" s="116"/>
      <c r="G90" s="116"/>
      <c r="H90" s="116"/>
      <c r="I90" s="116"/>
      <c r="J90" s="116"/>
      <c r="K90" s="116"/>
      <c r="L90" s="116"/>
      <c r="M90" s="116"/>
      <c r="N90" s="116"/>
      <c r="O90" s="116"/>
      <c r="P90" s="116"/>
      <c r="Q90" s="116"/>
      <c r="R90" s="116"/>
      <c r="S90" s="116"/>
      <c r="T90" s="116"/>
      <c r="U90" s="116"/>
      <c r="V90" s="116"/>
      <c r="W90" s="116"/>
      <c r="X90" s="116"/>
      <c r="Y90" s="116"/>
      <c r="Z90" s="116"/>
      <c r="AA90" s="116"/>
      <c r="AB90" s="116"/>
      <c r="AC90" s="116"/>
    </row>
    <row r="91" spans="2:29" x14ac:dyDescent="0.3">
      <c r="B91" s="116"/>
      <c r="C91" s="116"/>
      <c r="D91" s="116"/>
      <c r="E91" s="116"/>
      <c r="F91" s="116"/>
      <c r="G91" s="116"/>
      <c r="H91" s="116"/>
      <c r="I91" s="116"/>
      <c r="J91" s="116"/>
      <c r="K91" s="116"/>
      <c r="L91" s="116"/>
      <c r="M91" s="116"/>
      <c r="N91" s="116"/>
      <c r="O91" s="116"/>
      <c r="P91" s="116"/>
      <c r="Q91" s="116"/>
      <c r="R91" s="116"/>
      <c r="S91" s="116"/>
      <c r="T91" s="116"/>
      <c r="U91" s="116"/>
      <c r="V91" s="116"/>
      <c r="W91" s="116"/>
      <c r="X91" s="116"/>
      <c r="Y91" s="116"/>
      <c r="Z91" s="116"/>
      <c r="AA91" s="116"/>
      <c r="AB91" s="116"/>
      <c r="AC91" s="116"/>
    </row>
    <row r="92" spans="2:29" x14ac:dyDescent="0.3">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c r="AA92" s="116"/>
      <c r="AB92" s="116"/>
      <c r="AC92" s="116"/>
    </row>
    <row r="93" spans="2:29" x14ac:dyDescent="0.3">
      <c r="B93" s="116"/>
      <c r="C93" s="116"/>
      <c r="D93" s="116"/>
      <c r="E93" s="116"/>
      <c r="F93" s="116"/>
      <c r="G93" s="116"/>
      <c r="H93" s="116"/>
      <c r="I93" s="116"/>
      <c r="J93" s="116"/>
      <c r="K93" s="116"/>
      <c r="L93" s="116"/>
      <c r="M93" s="116"/>
      <c r="N93" s="116"/>
      <c r="O93" s="116"/>
      <c r="P93" s="116"/>
      <c r="Q93" s="116"/>
      <c r="R93" s="116"/>
      <c r="S93" s="116"/>
      <c r="T93" s="116"/>
      <c r="U93" s="116"/>
      <c r="V93" s="116"/>
      <c r="W93" s="116"/>
      <c r="X93" s="116"/>
      <c r="Y93" s="116"/>
      <c r="Z93" s="116"/>
      <c r="AA93" s="116"/>
      <c r="AB93" s="116"/>
      <c r="AC93" s="116"/>
    </row>
    <row r="94" spans="2:29" x14ac:dyDescent="0.3">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c r="AA94" s="116"/>
      <c r="AB94" s="116"/>
      <c r="AC94" s="116"/>
    </row>
    <row r="95" spans="2:29" x14ac:dyDescent="0.3">
      <c r="B95" s="116"/>
      <c r="C95" s="116"/>
      <c r="D95" s="116"/>
      <c r="E95" s="116"/>
      <c r="F95" s="116"/>
      <c r="G95" s="116"/>
      <c r="H95" s="116"/>
      <c r="I95" s="116"/>
      <c r="J95" s="116"/>
      <c r="K95" s="116"/>
      <c r="L95" s="116"/>
      <c r="M95" s="116"/>
      <c r="N95" s="116"/>
      <c r="O95" s="116"/>
      <c r="P95" s="116"/>
      <c r="Q95" s="116"/>
      <c r="R95" s="116"/>
      <c r="S95" s="116"/>
      <c r="T95" s="116"/>
      <c r="U95" s="116"/>
      <c r="V95" s="116"/>
      <c r="W95" s="116"/>
      <c r="X95" s="116"/>
      <c r="Y95" s="116"/>
      <c r="Z95" s="116"/>
      <c r="AA95" s="116"/>
      <c r="AB95" s="116"/>
      <c r="AC95" s="116"/>
    </row>
    <row r="96" spans="2:29" x14ac:dyDescent="0.3">
      <c r="B96" s="116"/>
      <c r="C96" s="116"/>
      <c r="D96" s="116"/>
      <c r="E96" s="116"/>
      <c r="F96" s="116"/>
      <c r="G96" s="116"/>
      <c r="H96" s="116"/>
      <c r="I96" s="116"/>
      <c r="J96" s="116"/>
      <c r="K96" s="116"/>
      <c r="L96" s="116"/>
      <c r="M96" s="116"/>
      <c r="N96" s="116"/>
      <c r="O96" s="116"/>
      <c r="P96" s="116"/>
      <c r="Q96" s="116"/>
      <c r="R96" s="116"/>
      <c r="S96" s="116"/>
      <c r="T96" s="116"/>
      <c r="U96" s="116"/>
      <c r="V96" s="116"/>
      <c r="W96" s="116"/>
      <c r="X96" s="116"/>
      <c r="Y96" s="116"/>
      <c r="Z96" s="116"/>
      <c r="AA96" s="116"/>
      <c r="AB96" s="116"/>
      <c r="AC96" s="116"/>
    </row>
    <row r="97" spans="2:29" x14ac:dyDescent="0.3">
      <c r="B97" s="116"/>
      <c r="C97" s="116"/>
      <c r="D97" s="116"/>
      <c r="E97" s="116"/>
      <c r="F97" s="116"/>
      <c r="G97" s="116"/>
      <c r="H97" s="116"/>
      <c r="I97" s="116"/>
      <c r="J97" s="116"/>
      <c r="K97" s="116"/>
      <c r="L97" s="116"/>
      <c r="M97" s="116"/>
      <c r="N97" s="116"/>
      <c r="O97" s="116"/>
      <c r="P97" s="116"/>
      <c r="Q97" s="116"/>
      <c r="R97" s="116"/>
      <c r="S97" s="116"/>
      <c r="T97" s="116"/>
      <c r="U97" s="116"/>
      <c r="V97" s="116"/>
      <c r="W97" s="116"/>
      <c r="X97" s="116"/>
      <c r="Y97" s="116"/>
      <c r="Z97" s="116"/>
      <c r="AA97" s="116"/>
      <c r="AB97" s="116"/>
      <c r="AC97" s="116"/>
    </row>
    <row r="98" spans="2:29" x14ac:dyDescent="0.3">
      <c r="B98" s="116"/>
      <c r="C98" s="116"/>
      <c r="D98" s="116"/>
      <c r="E98" s="116"/>
      <c r="F98" s="116"/>
      <c r="G98" s="116"/>
      <c r="H98" s="116"/>
      <c r="I98" s="116"/>
      <c r="J98" s="116"/>
      <c r="K98" s="116"/>
      <c r="L98" s="116"/>
      <c r="M98" s="116"/>
      <c r="N98" s="116"/>
      <c r="O98" s="116"/>
      <c r="P98" s="116"/>
      <c r="Q98" s="116"/>
      <c r="R98" s="116"/>
      <c r="S98" s="116"/>
      <c r="T98" s="116"/>
      <c r="U98" s="116"/>
      <c r="V98" s="116"/>
      <c r="W98" s="116"/>
      <c r="X98" s="116"/>
      <c r="Y98" s="116"/>
      <c r="Z98" s="116"/>
      <c r="AA98" s="116"/>
      <c r="AB98" s="116"/>
      <c r="AC98" s="116"/>
    </row>
    <row r="99" spans="2:29" x14ac:dyDescent="0.3">
      <c r="B99" s="116"/>
      <c r="C99" s="116"/>
      <c r="D99" s="116"/>
      <c r="E99" s="116"/>
      <c r="F99" s="116"/>
      <c r="G99" s="116"/>
      <c r="H99" s="116"/>
      <c r="I99" s="116"/>
      <c r="J99" s="116"/>
      <c r="K99" s="116"/>
      <c r="L99" s="116"/>
      <c r="M99" s="116"/>
      <c r="N99" s="116"/>
      <c r="O99" s="116"/>
      <c r="P99" s="116"/>
      <c r="Q99" s="116"/>
      <c r="R99" s="116"/>
      <c r="S99" s="116"/>
      <c r="T99" s="116"/>
      <c r="U99" s="116"/>
      <c r="V99" s="116"/>
      <c r="W99" s="116"/>
      <c r="X99" s="116"/>
      <c r="Y99" s="116"/>
      <c r="Z99" s="116"/>
      <c r="AA99" s="116"/>
      <c r="AB99" s="116"/>
      <c r="AC99" s="116"/>
    </row>
    <row r="100" spans="2:29" x14ac:dyDescent="0.3">
      <c r="B100" s="116"/>
      <c r="C100" s="116"/>
      <c r="D100" s="116"/>
      <c r="E100" s="116"/>
      <c r="F100" s="116"/>
      <c r="G100" s="116"/>
      <c r="H100" s="116"/>
      <c r="I100" s="116"/>
      <c r="J100" s="116"/>
      <c r="K100" s="116"/>
      <c r="L100" s="116"/>
      <c r="M100" s="116"/>
      <c r="N100" s="116"/>
      <c r="O100" s="116"/>
      <c r="P100" s="116"/>
      <c r="Q100" s="116"/>
      <c r="R100" s="116"/>
      <c r="S100" s="116"/>
      <c r="T100" s="116"/>
      <c r="U100" s="116"/>
      <c r="V100" s="116"/>
      <c r="W100" s="116"/>
      <c r="X100" s="116"/>
      <c r="Y100" s="116"/>
      <c r="Z100" s="116"/>
      <c r="AA100" s="116"/>
      <c r="AB100" s="116"/>
      <c r="AC100" s="116"/>
    </row>
    <row r="101" spans="2:29" x14ac:dyDescent="0.3">
      <c r="B101" s="116"/>
      <c r="C101" s="116"/>
      <c r="D101" s="116"/>
      <c r="E101" s="116"/>
      <c r="F101" s="116"/>
      <c r="G101" s="116"/>
      <c r="H101" s="116"/>
      <c r="I101" s="116"/>
      <c r="J101" s="116"/>
      <c r="K101" s="116"/>
      <c r="L101" s="116"/>
      <c r="M101" s="116"/>
      <c r="N101" s="116"/>
      <c r="O101" s="116"/>
      <c r="P101" s="116"/>
      <c r="Q101" s="116"/>
      <c r="R101" s="116"/>
      <c r="S101" s="116"/>
      <c r="T101" s="116"/>
      <c r="U101" s="116"/>
      <c r="V101" s="116"/>
      <c r="W101" s="116"/>
      <c r="X101" s="116"/>
      <c r="Y101" s="116"/>
      <c r="Z101" s="116"/>
      <c r="AA101" s="116"/>
      <c r="AB101" s="116"/>
      <c r="AC101" s="116"/>
    </row>
    <row r="102" spans="2:29" x14ac:dyDescent="0.3">
      <c r="B102" s="116"/>
      <c r="C102" s="116"/>
      <c r="D102" s="116"/>
      <c r="E102" s="116"/>
      <c r="F102" s="116"/>
      <c r="G102" s="116"/>
      <c r="H102" s="116"/>
      <c r="I102" s="116"/>
      <c r="J102" s="116"/>
      <c r="K102" s="116"/>
      <c r="L102" s="116"/>
      <c r="M102" s="116"/>
      <c r="N102" s="116"/>
      <c r="O102" s="116"/>
      <c r="P102" s="116"/>
      <c r="Q102" s="116"/>
      <c r="R102" s="116"/>
      <c r="S102" s="116"/>
      <c r="T102" s="116"/>
      <c r="U102" s="116"/>
      <c r="V102" s="116"/>
      <c r="W102" s="116"/>
      <c r="X102" s="116"/>
      <c r="Y102" s="116"/>
      <c r="Z102" s="116"/>
      <c r="AA102" s="116"/>
      <c r="AB102" s="116"/>
      <c r="AC102" s="116"/>
    </row>
    <row r="103" spans="2:29" x14ac:dyDescent="0.3">
      <c r="B103" s="116"/>
      <c r="C103" s="116"/>
      <c r="D103" s="116"/>
      <c r="E103" s="116"/>
      <c r="F103" s="116"/>
      <c r="G103" s="116"/>
      <c r="H103" s="116"/>
      <c r="I103" s="116"/>
      <c r="J103" s="116"/>
      <c r="K103" s="116"/>
      <c r="L103" s="116"/>
      <c r="M103" s="116"/>
      <c r="N103" s="116"/>
      <c r="O103" s="116"/>
      <c r="P103" s="116"/>
      <c r="Q103" s="116"/>
      <c r="R103" s="116"/>
      <c r="S103" s="116"/>
      <c r="T103" s="116"/>
      <c r="U103" s="116"/>
      <c r="V103" s="116"/>
      <c r="W103" s="116"/>
      <c r="X103" s="116"/>
      <c r="Y103" s="116"/>
      <c r="Z103" s="116"/>
      <c r="AA103" s="116"/>
      <c r="AB103" s="116"/>
      <c r="AC103" s="116"/>
    </row>
    <row r="104" spans="2:29" x14ac:dyDescent="0.3">
      <c r="B104" s="116"/>
      <c r="C104" s="116"/>
      <c r="D104" s="116"/>
      <c r="E104" s="116"/>
      <c r="F104" s="116"/>
      <c r="G104" s="116"/>
      <c r="H104" s="116"/>
      <c r="I104" s="116"/>
      <c r="J104" s="116"/>
      <c r="K104" s="116"/>
      <c r="L104" s="116"/>
      <c r="M104" s="116"/>
      <c r="N104" s="116"/>
      <c r="O104" s="116"/>
      <c r="P104" s="116"/>
      <c r="Q104" s="116"/>
      <c r="R104" s="116"/>
      <c r="S104" s="116"/>
      <c r="T104" s="116"/>
      <c r="U104" s="116"/>
      <c r="V104" s="116"/>
      <c r="W104" s="116"/>
      <c r="X104" s="116"/>
      <c r="Y104" s="116"/>
      <c r="Z104" s="116"/>
      <c r="AA104" s="116"/>
      <c r="AB104" s="116"/>
      <c r="AC104" s="116"/>
    </row>
    <row r="105" spans="2:29" x14ac:dyDescent="0.3">
      <c r="B105" s="116"/>
      <c r="C105" s="116"/>
      <c r="D105" s="116"/>
      <c r="E105" s="116"/>
      <c r="F105" s="116"/>
      <c r="G105" s="116"/>
      <c r="H105" s="116"/>
      <c r="I105" s="116"/>
      <c r="J105" s="116"/>
      <c r="K105" s="116"/>
      <c r="L105" s="116"/>
      <c r="M105" s="116"/>
      <c r="N105" s="116"/>
      <c r="O105" s="116"/>
      <c r="P105" s="116"/>
      <c r="Q105" s="116"/>
      <c r="R105" s="116"/>
      <c r="S105" s="116"/>
      <c r="T105" s="116"/>
      <c r="U105" s="116"/>
      <c r="V105" s="116"/>
      <c r="W105" s="116"/>
      <c r="X105" s="116"/>
      <c r="Y105" s="116"/>
      <c r="Z105" s="116"/>
      <c r="AA105" s="116"/>
      <c r="AB105" s="116"/>
      <c r="AC105" s="116"/>
    </row>
    <row r="106" spans="2:29" x14ac:dyDescent="0.3">
      <c r="B106" s="116"/>
      <c r="C106" s="116"/>
      <c r="D106" s="116"/>
      <c r="E106" s="116"/>
      <c r="F106" s="116"/>
      <c r="G106" s="116"/>
      <c r="H106" s="116"/>
      <c r="I106" s="116"/>
      <c r="J106" s="116"/>
      <c r="K106" s="116"/>
      <c r="L106" s="116"/>
      <c r="M106" s="116"/>
      <c r="N106" s="116"/>
      <c r="O106" s="116"/>
      <c r="P106" s="116"/>
      <c r="Q106" s="116"/>
      <c r="R106" s="116"/>
      <c r="S106" s="116"/>
      <c r="T106" s="116"/>
      <c r="U106" s="116"/>
      <c r="V106" s="116"/>
      <c r="W106" s="116"/>
      <c r="X106" s="116"/>
      <c r="Y106" s="116"/>
      <c r="Z106" s="116"/>
      <c r="AA106" s="116"/>
      <c r="AB106" s="116"/>
      <c r="AC106" s="116"/>
    </row>
    <row r="107" spans="2:29" x14ac:dyDescent="0.3">
      <c r="B107" s="116"/>
      <c r="C107" s="116"/>
      <c r="D107" s="116"/>
      <c r="E107" s="116"/>
      <c r="F107" s="116"/>
      <c r="G107" s="116"/>
      <c r="H107" s="116"/>
      <c r="I107" s="116"/>
      <c r="J107" s="116"/>
      <c r="K107" s="116"/>
      <c r="L107" s="116"/>
      <c r="M107" s="116"/>
      <c r="N107" s="116"/>
      <c r="O107" s="116"/>
      <c r="P107" s="116"/>
      <c r="Q107" s="116"/>
      <c r="R107" s="116"/>
      <c r="S107" s="116"/>
      <c r="T107" s="116"/>
      <c r="U107" s="116"/>
      <c r="V107" s="116"/>
      <c r="W107" s="116"/>
      <c r="X107" s="116"/>
      <c r="Y107" s="116"/>
      <c r="Z107" s="116"/>
      <c r="AA107" s="116"/>
      <c r="AB107" s="116"/>
      <c r="AC107" s="116"/>
    </row>
    <row r="108" spans="2:29" x14ac:dyDescent="0.3">
      <c r="B108" s="116"/>
      <c r="C108" s="116"/>
      <c r="D108" s="116"/>
      <c r="E108" s="116"/>
      <c r="F108" s="116"/>
      <c r="G108" s="116"/>
      <c r="H108" s="116"/>
      <c r="I108" s="116"/>
      <c r="J108" s="116"/>
      <c r="K108" s="116"/>
      <c r="L108" s="116"/>
      <c r="M108" s="116"/>
      <c r="N108" s="116"/>
      <c r="O108" s="116"/>
      <c r="P108" s="116"/>
      <c r="Q108" s="116"/>
      <c r="R108" s="116"/>
      <c r="S108" s="116"/>
      <c r="T108" s="116"/>
      <c r="U108" s="116"/>
      <c r="V108" s="116"/>
      <c r="W108" s="116"/>
      <c r="X108" s="116"/>
      <c r="Y108" s="116"/>
      <c r="Z108" s="116"/>
      <c r="AA108" s="116"/>
      <c r="AB108" s="116"/>
      <c r="AC108" s="116"/>
    </row>
    <row r="109" spans="2:29" x14ac:dyDescent="0.3">
      <c r="B109" s="116"/>
      <c r="C109" s="116"/>
      <c r="D109" s="116"/>
      <c r="E109" s="116"/>
      <c r="F109" s="116"/>
      <c r="G109" s="116"/>
      <c r="H109" s="116"/>
      <c r="I109" s="116"/>
      <c r="J109" s="116"/>
      <c r="K109" s="116"/>
      <c r="L109" s="116"/>
      <c r="M109" s="116"/>
      <c r="N109" s="116"/>
      <c r="O109" s="116"/>
      <c r="P109" s="116"/>
      <c r="Q109" s="116"/>
      <c r="R109" s="116"/>
      <c r="S109" s="116"/>
      <c r="T109" s="116"/>
      <c r="U109" s="116"/>
      <c r="V109" s="116"/>
      <c r="W109" s="116"/>
      <c r="X109" s="116"/>
      <c r="Y109" s="116"/>
      <c r="Z109" s="116"/>
      <c r="AA109" s="116"/>
      <c r="AB109" s="116"/>
      <c r="AC109" s="116"/>
    </row>
    <row r="110" spans="2:29" x14ac:dyDescent="0.3">
      <c r="B110" s="116"/>
      <c r="C110" s="116"/>
      <c r="D110" s="116"/>
      <c r="E110" s="116"/>
      <c r="F110" s="116"/>
      <c r="G110" s="116"/>
      <c r="H110" s="116"/>
      <c r="I110" s="116"/>
      <c r="J110" s="116"/>
      <c r="K110" s="116"/>
      <c r="L110" s="116"/>
      <c r="M110" s="116"/>
      <c r="N110" s="116"/>
      <c r="O110" s="116"/>
      <c r="P110" s="116"/>
      <c r="Q110" s="116"/>
      <c r="R110" s="116"/>
      <c r="S110" s="116"/>
      <c r="T110" s="116"/>
      <c r="U110" s="116"/>
      <c r="V110" s="116"/>
      <c r="W110" s="116"/>
      <c r="X110" s="116"/>
      <c r="Y110" s="116"/>
      <c r="Z110" s="116"/>
      <c r="AA110" s="116"/>
      <c r="AB110" s="116"/>
      <c r="AC110" s="116"/>
    </row>
    <row r="111" spans="2:29" x14ac:dyDescent="0.3">
      <c r="B111" s="116"/>
      <c r="C111" s="116"/>
      <c r="D111" s="116"/>
      <c r="E111" s="116"/>
      <c r="F111" s="116"/>
      <c r="G111" s="116"/>
      <c r="H111" s="116"/>
      <c r="I111" s="116"/>
      <c r="J111" s="116"/>
      <c r="K111" s="116"/>
      <c r="L111" s="116"/>
      <c r="M111" s="116"/>
      <c r="N111" s="116"/>
      <c r="O111" s="116"/>
      <c r="P111" s="116"/>
      <c r="Q111" s="116"/>
      <c r="R111" s="116"/>
      <c r="S111" s="116"/>
      <c r="T111" s="116"/>
      <c r="U111" s="116"/>
      <c r="V111" s="116"/>
      <c r="W111" s="116"/>
      <c r="X111" s="116"/>
      <c r="Y111" s="116"/>
      <c r="Z111" s="116"/>
      <c r="AA111" s="116"/>
      <c r="AB111" s="116"/>
      <c r="AC111" s="116"/>
    </row>
    <row r="112" spans="2:29" x14ac:dyDescent="0.3">
      <c r="B112" s="116"/>
      <c r="C112" s="116"/>
      <c r="D112" s="116"/>
      <c r="E112" s="116"/>
      <c r="F112" s="116"/>
      <c r="G112" s="116"/>
      <c r="H112" s="116"/>
      <c r="I112" s="116"/>
      <c r="J112" s="116"/>
      <c r="K112" s="116"/>
      <c r="L112" s="116"/>
      <c r="M112" s="116"/>
      <c r="N112" s="116"/>
      <c r="O112" s="116"/>
      <c r="P112" s="116"/>
      <c r="Q112" s="116"/>
      <c r="R112" s="116"/>
      <c r="S112" s="116"/>
      <c r="T112" s="116"/>
      <c r="U112" s="116"/>
      <c r="V112" s="116"/>
      <c r="W112" s="116"/>
      <c r="X112" s="116"/>
      <c r="Y112" s="116"/>
      <c r="Z112" s="116"/>
      <c r="AA112" s="116"/>
      <c r="AB112" s="116"/>
      <c r="AC112" s="116"/>
    </row>
    <row r="113" spans="2:29" x14ac:dyDescent="0.3">
      <c r="B113" s="116"/>
      <c r="C113" s="116"/>
      <c r="D113" s="116"/>
      <c r="E113" s="116"/>
      <c r="F113" s="116"/>
      <c r="G113" s="116"/>
      <c r="H113" s="116"/>
      <c r="I113" s="116"/>
      <c r="J113" s="116"/>
      <c r="K113" s="116"/>
      <c r="L113" s="116"/>
      <c r="M113" s="116"/>
      <c r="N113" s="116"/>
      <c r="O113" s="116"/>
      <c r="P113" s="116"/>
      <c r="Q113" s="116"/>
      <c r="R113" s="116"/>
      <c r="S113" s="116"/>
      <c r="T113" s="116"/>
      <c r="U113" s="116"/>
      <c r="V113" s="116"/>
      <c r="W113" s="116"/>
      <c r="X113" s="116"/>
      <c r="Y113" s="116"/>
      <c r="Z113" s="116"/>
      <c r="AA113" s="116"/>
      <c r="AB113" s="116"/>
      <c r="AC113" s="116"/>
    </row>
    <row r="114" spans="2:29" x14ac:dyDescent="0.3">
      <c r="B114" s="116"/>
      <c r="C114" s="116"/>
      <c r="D114" s="116"/>
      <c r="E114" s="116"/>
      <c r="F114" s="116"/>
      <c r="G114" s="116"/>
      <c r="H114" s="116"/>
      <c r="I114" s="116"/>
      <c r="J114" s="116"/>
      <c r="K114" s="116"/>
      <c r="L114" s="116"/>
      <c r="M114" s="116"/>
      <c r="N114" s="116"/>
      <c r="O114" s="116"/>
      <c r="P114" s="116"/>
      <c r="Q114" s="116"/>
      <c r="R114" s="116"/>
      <c r="S114" s="116"/>
      <c r="T114" s="116"/>
      <c r="U114" s="116"/>
      <c r="V114" s="116"/>
      <c r="W114" s="116"/>
      <c r="X114" s="116"/>
      <c r="Y114" s="116"/>
      <c r="Z114" s="116"/>
      <c r="AA114" s="116"/>
      <c r="AB114" s="116"/>
      <c r="AC114" s="116"/>
    </row>
    <row r="115" spans="2:29" x14ac:dyDescent="0.3">
      <c r="B115" s="116"/>
      <c r="C115" s="116"/>
      <c r="D115" s="116"/>
      <c r="E115" s="116"/>
      <c r="F115" s="116"/>
      <c r="G115" s="116"/>
      <c r="H115" s="116"/>
      <c r="I115" s="116"/>
      <c r="J115" s="116"/>
      <c r="K115" s="116"/>
      <c r="L115" s="116"/>
      <c r="M115" s="116"/>
      <c r="N115" s="116"/>
      <c r="O115" s="116"/>
      <c r="P115" s="116"/>
      <c r="Q115" s="116"/>
      <c r="R115" s="116"/>
      <c r="S115" s="116"/>
      <c r="T115" s="116"/>
      <c r="U115" s="116"/>
      <c r="V115" s="116"/>
      <c r="W115" s="116"/>
      <c r="X115" s="116"/>
      <c r="Y115" s="116"/>
      <c r="Z115" s="116"/>
      <c r="AA115" s="116"/>
      <c r="AB115" s="116"/>
      <c r="AC115" s="116"/>
    </row>
    <row r="116" spans="2:29" x14ac:dyDescent="0.3">
      <c r="B116" s="116"/>
      <c r="C116" s="116"/>
      <c r="D116" s="116"/>
      <c r="E116" s="116"/>
      <c r="F116" s="116"/>
      <c r="G116" s="116"/>
      <c r="H116" s="116"/>
      <c r="I116" s="116"/>
      <c r="J116" s="116"/>
      <c r="K116" s="116"/>
      <c r="L116" s="116"/>
      <c r="M116" s="116"/>
      <c r="N116" s="116"/>
      <c r="O116" s="116"/>
      <c r="P116" s="116"/>
      <c r="Q116" s="116"/>
      <c r="R116" s="116"/>
      <c r="S116" s="116"/>
      <c r="T116" s="116"/>
      <c r="U116" s="116"/>
      <c r="V116" s="116"/>
      <c r="W116" s="116"/>
      <c r="X116" s="116"/>
      <c r="Y116" s="116"/>
      <c r="Z116" s="116"/>
      <c r="AA116" s="116"/>
      <c r="AB116" s="116"/>
      <c r="AC116" s="116"/>
    </row>
    <row r="117" spans="2:29" x14ac:dyDescent="0.3">
      <c r="B117" s="116"/>
      <c r="C117" s="116"/>
      <c r="D117" s="116"/>
      <c r="E117" s="116"/>
      <c r="F117" s="116"/>
      <c r="G117" s="116"/>
      <c r="H117" s="116"/>
      <c r="I117" s="116"/>
      <c r="J117" s="116"/>
      <c r="K117" s="116"/>
      <c r="L117" s="116"/>
      <c r="M117" s="116"/>
      <c r="N117" s="116"/>
      <c r="O117" s="116"/>
      <c r="P117" s="116"/>
      <c r="Q117" s="116"/>
      <c r="R117" s="116"/>
      <c r="S117" s="116"/>
      <c r="T117" s="116"/>
      <c r="U117" s="116"/>
      <c r="V117" s="116"/>
      <c r="W117" s="116"/>
      <c r="X117" s="116"/>
      <c r="Y117" s="116"/>
      <c r="Z117" s="116"/>
      <c r="AA117" s="116"/>
      <c r="AB117" s="116"/>
      <c r="AC117" s="116"/>
    </row>
    <row r="118" spans="2:29" x14ac:dyDescent="0.3">
      <c r="B118" s="116"/>
      <c r="C118" s="116"/>
      <c r="D118" s="116"/>
      <c r="E118" s="116"/>
      <c r="F118" s="116"/>
      <c r="G118" s="116"/>
      <c r="H118" s="116"/>
      <c r="I118" s="116"/>
      <c r="J118" s="116"/>
      <c r="K118" s="116"/>
      <c r="L118" s="116"/>
      <c r="M118" s="116"/>
      <c r="N118" s="116"/>
      <c r="O118" s="116"/>
      <c r="P118" s="116"/>
      <c r="Q118" s="116"/>
      <c r="R118" s="116"/>
      <c r="S118" s="116"/>
      <c r="T118" s="116"/>
      <c r="U118" s="116"/>
      <c r="V118" s="116"/>
      <c r="W118" s="116"/>
      <c r="X118" s="116"/>
      <c r="Y118" s="116"/>
      <c r="Z118" s="116"/>
      <c r="AA118" s="116"/>
      <c r="AB118" s="116"/>
      <c r="AC118" s="116"/>
    </row>
    <row r="119" spans="2:29" x14ac:dyDescent="0.3">
      <c r="B119" s="116"/>
      <c r="C119" s="116"/>
      <c r="D119" s="116"/>
      <c r="E119" s="116"/>
      <c r="F119" s="116"/>
      <c r="G119" s="116"/>
      <c r="H119" s="116"/>
      <c r="I119" s="116"/>
      <c r="J119" s="116"/>
      <c r="K119" s="116"/>
      <c r="L119" s="116"/>
      <c r="M119" s="116"/>
      <c r="N119" s="116"/>
      <c r="O119" s="116"/>
      <c r="P119" s="116"/>
      <c r="Q119" s="116"/>
      <c r="R119" s="116"/>
      <c r="S119" s="116"/>
      <c r="T119" s="116"/>
      <c r="U119" s="116"/>
      <c r="V119" s="116"/>
      <c r="W119" s="116"/>
      <c r="X119" s="116"/>
      <c r="Y119" s="116"/>
      <c r="Z119" s="116"/>
      <c r="AA119" s="116"/>
      <c r="AB119" s="116"/>
      <c r="AC119" s="116"/>
    </row>
    <row r="120" spans="2:29" x14ac:dyDescent="0.3">
      <c r="B120" s="116"/>
      <c r="C120" s="116"/>
      <c r="D120" s="116"/>
      <c r="E120" s="116"/>
      <c r="F120" s="116"/>
      <c r="G120" s="116"/>
      <c r="H120" s="116"/>
      <c r="I120" s="116"/>
      <c r="J120" s="116"/>
      <c r="K120" s="116"/>
      <c r="L120" s="116"/>
      <c r="M120" s="116"/>
      <c r="N120" s="116"/>
      <c r="O120" s="116"/>
      <c r="P120" s="116"/>
      <c r="Q120" s="116"/>
      <c r="R120" s="116"/>
      <c r="S120" s="116"/>
      <c r="T120" s="116"/>
      <c r="U120" s="116"/>
      <c r="V120" s="116"/>
      <c r="W120" s="116"/>
      <c r="X120" s="116"/>
      <c r="Y120" s="116"/>
      <c r="Z120" s="116"/>
      <c r="AA120" s="116"/>
      <c r="AB120" s="116"/>
      <c r="AC120" s="116"/>
    </row>
    <row r="121" spans="2:29" x14ac:dyDescent="0.3">
      <c r="B121" s="116"/>
      <c r="C121" s="116"/>
      <c r="D121" s="116"/>
      <c r="E121" s="116"/>
      <c r="F121" s="116"/>
      <c r="G121" s="116"/>
      <c r="H121" s="116"/>
      <c r="I121" s="116"/>
      <c r="J121" s="116"/>
      <c r="K121" s="116"/>
      <c r="L121" s="116"/>
      <c r="M121" s="116"/>
      <c r="N121" s="116"/>
      <c r="O121" s="116"/>
      <c r="P121" s="116"/>
      <c r="Q121" s="116"/>
      <c r="R121" s="116"/>
      <c r="S121" s="116"/>
      <c r="T121" s="116"/>
      <c r="U121" s="116"/>
      <c r="V121" s="116"/>
      <c r="W121" s="116"/>
      <c r="X121" s="116"/>
      <c r="Y121" s="116"/>
      <c r="Z121" s="116"/>
      <c r="AA121" s="116"/>
      <c r="AB121" s="116"/>
      <c r="AC121" s="116"/>
    </row>
    <row r="122" spans="2:29" x14ac:dyDescent="0.3">
      <c r="B122" s="116"/>
      <c r="C122" s="116"/>
      <c r="D122" s="116"/>
      <c r="E122" s="116"/>
      <c r="F122" s="116"/>
      <c r="G122" s="116"/>
      <c r="H122" s="116"/>
      <c r="I122" s="116"/>
      <c r="J122" s="116"/>
      <c r="K122" s="116"/>
      <c r="L122" s="116"/>
      <c r="M122" s="116"/>
      <c r="N122" s="116"/>
      <c r="O122" s="116"/>
      <c r="P122" s="116"/>
      <c r="Q122" s="116"/>
      <c r="R122" s="116"/>
      <c r="S122" s="116"/>
      <c r="T122" s="116"/>
      <c r="U122" s="116"/>
      <c r="V122" s="116"/>
      <c r="W122" s="116"/>
      <c r="X122" s="116"/>
      <c r="Y122" s="116"/>
      <c r="Z122" s="116"/>
      <c r="AA122" s="116"/>
      <c r="AB122" s="116"/>
      <c r="AC122" s="116"/>
    </row>
    <row r="123" spans="2:29" x14ac:dyDescent="0.3">
      <c r="B123" s="116"/>
      <c r="C123" s="116"/>
      <c r="D123" s="116"/>
      <c r="E123" s="116"/>
      <c r="F123" s="116"/>
      <c r="G123" s="116"/>
      <c r="H123" s="116"/>
      <c r="I123" s="116"/>
      <c r="J123" s="116"/>
      <c r="K123" s="116"/>
      <c r="L123" s="116"/>
      <c r="M123" s="116"/>
      <c r="N123" s="116"/>
      <c r="O123" s="116"/>
      <c r="P123" s="116"/>
      <c r="Q123" s="116"/>
      <c r="R123" s="116"/>
      <c r="S123" s="116"/>
      <c r="T123" s="116"/>
      <c r="U123" s="116"/>
      <c r="V123" s="116"/>
      <c r="W123" s="116"/>
      <c r="X123" s="116"/>
      <c r="Y123" s="116"/>
      <c r="Z123" s="116"/>
      <c r="AA123" s="116"/>
      <c r="AB123" s="116"/>
      <c r="AC123" s="116"/>
    </row>
    <row r="124" spans="2:29" x14ac:dyDescent="0.3">
      <c r="B124" s="116"/>
      <c r="C124" s="116"/>
      <c r="D124" s="116"/>
      <c r="E124" s="116"/>
      <c r="F124" s="116"/>
      <c r="G124" s="116"/>
      <c r="H124" s="116"/>
      <c r="I124" s="116"/>
      <c r="J124" s="116"/>
      <c r="K124" s="116"/>
      <c r="L124" s="116"/>
      <c r="M124" s="116"/>
      <c r="N124" s="116"/>
      <c r="O124" s="116"/>
      <c r="P124" s="116"/>
      <c r="Q124" s="116"/>
      <c r="R124" s="116"/>
      <c r="S124" s="116"/>
      <c r="T124" s="116"/>
      <c r="U124" s="116"/>
      <c r="V124" s="116"/>
      <c r="W124" s="116"/>
      <c r="X124" s="116"/>
      <c r="Y124" s="116"/>
      <c r="Z124" s="116"/>
      <c r="AA124" s="116"/>
      <c r="AB124" s="116"/>
      <c r="AC124" s="116"/>
    </row>
    <row r="125" spans="2:29" x14ac:dyDescent="0.3">
      <c r="B125" s="116"/>
      <c r="C125" s="116"/>
      <c r="D125" s="116"/>
      <c r="E125" s="116"/>
      <c r="F125" s="116"/>
      <c r="G125" s="116"/>
      <c r="H125" s="116"/>
      <c r="I125" s="116"/>
      <c r="J125" s="116"/>
      <c r="K125" s="116"/>
      <c r="L125" s="116"/>
      <c r="M125" s="116"/>
      <c r="N125" s="116"/>
      <c r="O125" s="116"/>
      <c r="P125" s="116"/>
      <c r="Q125" s="116"/>
      <c r="R125" s="116"/>
      <c r="S125" s="116"/>
      <c r="T125" s="116"/>
      <c r="U125" s="116"/>
      <c r="V125" s="116"/>
      <c r="W125" s="116"/>
      <c r="X125" s="116"/>
      <c r="Y125" s="116"/>
      <c r="Z125" s="116"/>
      <c r="AA125" s="116"/>
      <c r="AB125" s="116"/>
      <c r="AC125" s="116"/>
    </row>
    <row r="126" spans="2:29" x14ac:dyDescent="0.3">
      <c r="B126" s="116"/>
      <c r="C126" s="116"/>
      <c r="D126" s="116"/>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c r="AA126" s="116"/>
      <c r="AB126" s="116"/>
      <c r="AC126" s="116"/>
    </row>
    <row r="127" spans="2:29" x14ac:dyDescent="0.3">
      <c r="B127" s="116"/>
      <c r="C127" s="116"/>
      <c r="D127" s="116"/>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c r="AA127" s="116"/>
      <c r="AB127" s="116"/>
      <c r="AC127" s="116"/>
    </row>
    <row r="128" spans="2:29" x14ac:dyDescent="0.3">
      <c r="B128" s="116"/>
      <c r="C128" s="116"/>
      <c r="D128" s="116"/>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c r="AA128" s="116"/>
      <c r="AB128" s="116"/>
      <c r="AC128" s="116"/>
    </row>
    <row r="129" spans="2:29" x14ac:dyDescent="0.3">
      <c r="B129" s="116"/>
      <c r="C129" s="116"/>
      <c r="D129" s="116"/>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c r="AA129" s="116"/>
      <c r="AB129" s="116"/>
      <c r="AC129" s="116"/>
    </row>
    <row r="130" spans="2:29" x14ac:dyDescent="0.3">
      <c r="B130" s="116"/>
      <c r="C130" s="116"/>
      <c r="D130" s="116"/>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c r="AA130" s="116"/>
      <c r="AB130" s="116"/>
      <c r="AC130" s="116"/>
    </row>
    <row r="131" spans="2:29" x14ac:dyDescent="0.3">
      <c r="B131" s="116"/>
      <c r="C131" s="11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c r="AA131" s="116"/>
      <c r="AB131" s="116"/>
      <c r="AC131" s="116"/>
    </row>
    <row r="132" spans="2:29" x14ac:dyDescent="0.3">
      <c r="B132" s="116"/>
      <c r="C132" s="116"/>
      <c r="D132" s="116"/>
      <c r="E132" s="116"/>
      <c r="F132" s="116"/>
      <c r="G132" s="116"/>
      <c r="H132" s="116"/>
      <c r="I132" s="116"/>
      <c r="J132" s="116"/>
      <c r="K132" s="116"/>
      <c r="L132" s="116"/>
      <c r="M132" s="116"/>
      <c r="N132" s="116"/>
      <c r="O132" s="116"/>
      <c r="P132" s="116"/>
      <c r="Q132" s="116"/>
      <c r="R132" s="116"/>
      <c r="S132" s="116"/>
      <c r="T132" s="116"/>
      <c r="U132" s="116"/>
      <c r="V132" s="116"/>
      <c r="W132" s="116"/>
      <c r="X132" s="116"/>
      <c r="Y132" s="116"/>
      <c r="Z132" s="116"/>
      <c r="AA132" s="116"/>
      <c r="AB132" s="116"/>
      <c r="AC132" s="116"/>
    </row>
    <row r="133" spans="2:29" x14ac:dyDescent="0.3">
      <c r="B133" s="116"/>
      <c r="C133" s="116"/>
      <c r="D133" s="116"/>
      <c r="E133" s="116"/>
      <c r="F133" s="116"/>
      <c r="G133" s="116"/>
      <c r="H133" s="116"/>
      <c r="I133" s="116"/>
      <c r="J133" s="116"/>
      <c r="K133" s="116"/>
      <c r="L133" s="116"/>
      <c r="M133" s="116"/>
      <c r="N133" s="116"/>
      <c r="O133" s="116"/>
      <c r="P133" s="116"/>
      <c r="Q133" s="116"/>
      <c r="R133" s="116"/>
      <c r="S133" s="116"/>
      <c r="T133" s="116"/>
      <c r="U133" s="116"/>
      <c r="V133" s="116"/>
      <c r="W133" s="116"/>
      <c r="X133" s="116"/>
      <c r="Y133" s="116"/>
      <c r="Z133" s="116"/>
      <c r="AA133" s="116"/>
      <c r="AB133" s="116"/>
      <c r="AC133" s="116"/>
    </row>
    <row r="134" spans="2:29" x14ac:dyDescent="0.3">
      <c r="B134" s="116"/>
      <c r="C134" s="116"/>
      <c r="D134" s="116"/>
      <c r="E134" s="116"/>
      <c r="F134" s="116"/>
      <c r="G134" s="116"/>
      <c r="H134" s="116"/>
      <c r="I134" s="116"/>
      <c r="J134" s="116"/>
      <c r="K134" s="116"/>
      <c r="L134" s="116"/>
      <c r="M134" s="116"/>
      <c r="N134" s="116"/>
      <c r="O134" s="116"/>
      <c r="P134" s="116"/>
      <c r="Q134" s="116"/>
      <c r="R134" s="116"/>
      <c r="S134" s="116"/>
      <c r="T134" s="116"/>
      <c r="U134" s="116"/>
      <c r="V134" s="116"/>
      <c r="W134" s="116"/>
      <c r="X134" s="116"/>
      <c r="Y134" s="116"/>
      <c r="Z134" s="116"/>
      <c r="AA134" s="116"/>
      <c r="AB134" s="116"/>
      <c r="AC134" s="116"/>
    </row>
    <row r="135" spans="2:29" x14ac:dyDescent="0.3">
      <c r="B135" s="116"/>
      <c r="C135" s="116"/>
      <c r="D135" s="116"/>
      <c r="E135" s="116"/>
      <c r="F135" s="116"/>
      <c r="G135" s="116"/>
      <c r="H135" s="116"/>
      <c r="I135" s="116"/>
      <c r="J135" s="116"/>
      <c r="K135" s="116"/>
      <c r="L135" s="116"/>
      <c r="M135" s="116"/>
      <c r="N135" s="116"/>
      <c r="O135" s="116"/>
      <c r="P135" s="116"/>
      <c r="Q135" s="116"/>
      <c r="R135" s="116"/>
      <c r="S135" s="116"/>
      <c r="T135" s="116"/>
      <c r="U135" s="116"/>
      <c r="V135" s="116"/>
      <c r="W135" s="116"/>
      <c r="X135" s="116"/>
      <c r="Y135" s="116"/>
      <c r="Z135" s="116"/>
      <c r="AA135" s="116"/>
      <c r="AB135" s="116"/>
      <c r="AC135" s="116"/>
    </row>
    <row r="136" spans="2:29" x14ac:dyDescent="0.3">
      <c r="B136" s="116"/>
      <c r="C136" s="116"/>
      <c r="D136" s="116"/>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c r="AA136" s="116"/>
      <c r="AB136" s="116"/>
      <c r="AC136" s="116"/>
    </row>
    <row r="137" spans="2:29" x14ac:dyDescent="0.3">
      <c r="B137" s="116"/>
      <c r="C137" s="116"/>
      <c r="D137" s="116"/>
      <c r="E137" s="116"/>
      <c r="F137" s="116"/>
      <c r="G137" s="116"/>
      <c r="H137" s="116"/>
      <c r="I137" s="116"/>
      <c r="J137" s="116"/>
      <c r="K137" s="116"/>
      <c r="L137" s="116"/>
      <c r="M137" s="116"/>
      <c r="N137" s="116"/>
      <c r="O137" s="116"/>
      <c r="P137" s="116"/>
      <c r="Q137" s="116"/>
      <c r="R137" s="116"/>
      <c r="S137" s="116"/>
      <c r="T137" s="116"/>
      <c r="U137" s="116"/>
      <c r="V137" s="116"/>
      <c r="W137" s="116"/>
      <c r="X137" s="116"/>
      <c r="Y137" s="116"/>
      <c r="Z137" s="116"/>
      <c r="AA137" s="116"/>
      <c r="AB137" s="116"/>
      <c r="AC137" s="116"/>
    </row>
    <row r="138" spans="2:29" x14ac:dyDescent="0.3">
      <c r="B138" s="116"/>
      <c r="C138" s="116"/>
      <c r="D138" s="116"/>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c r="AA138" s="116"/>
      <c r="AB138" s="116"/>
      <c r="AC138" s="116"/>
    </row>
    <row r="139" spans="2:29" x14ac:dyDescent="0.3">
      <c r="B139" s="116"/>
      <c r="C139" s="116"/>
      <c r="D139" s="116"/>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c r="AA139" s="116"/>
      <c r="AB139" s="116"/>
      <c r="AC139" s="116"/>
    </row>
    <row r="140" spans="2:29" x14ac:dyDescent="0.3">
      <c r="B140" s="116"/>
      <c r="C140" s="116"/>
      <c r="D140" s="116"/>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c r="AA140" s="116"/>
      <c r="AB140" s="116"/>
      <c r="AC140" s="116"/>
    </row>
    <row r="141" spans="2:29" x14ac:dyDescent="0.3">
      <c r="B141" s="116"/>
      <c r="C141" s="116"/>
      <c r="D141" s="116"/>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c r="AA141" s="116"/>
      <c r="AB141" s="116"/>
      <c r="AC141" s="1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59F17-5ED2-48E8-BF94-2DDA11A45DE7}">
  <dimension ref="B2:D7"/>
  <sheetViews>
    <sheetView workbookViewId="0">
      <selection activeCell="E28" sqref="E28"/>
    </sheetView>
  </sheetViews>
  <sheetFormatPr defaultRowHeight="14.4" x14ac:dyDescent="0.3"/>
  <cols>
    <col min="2" max="2" width="11.21875" customWidth="1"/>
  </cols>
  <sheetData>
    <row r="2" spans="2:4" x14ac:dyDescent="0.3">
      <c r="B2" s="999"/>
      <c r="C2" s="137"/>
      <c r="D2" s="137"/>
    </row>
    <row r="3" spans="2:4" x14ac:dyDescent="0.3">
      <c r="B3" s="999"/>
      <c r="C3" s="137" t="s">
        <v>1189</v>
      </c>
      <c r="D3" s="998"/>
    </row>
    <row r="4" spans="2:4" x14ac:dyDescent="0.3">
      <c r="B4" s="1071" t="s">
        <v>1216</v>
      </c>
      <c r="C4" s="1040">
        <v>0</v>
      </c>
      <c r="D4" s="998"/>
    </row>
    <row r="5" spans="2:4" x14ac:dyDescent="0.3">
      <c r="B5" s="138" t="s">
        <v>114</v>
      </c>
      <c r="C5" s="1000">
        <v>5</v>
      </c>
      <c r="D5" s="1000"/>
    </row>
    <row r="6" spans="2:4" x14ac:dyDescent="0.3">
      <c r="B6" s="138" t="s">
        <v>1195</v>
      </c>
      <c r="C6" s="1000">
        <v>7</v>
      </c>
    </row>
    <row r="7" spans="2:4" x14ac:dyDescent="0.3">
      <c r="B7" s="138" t="s">
        <v>1205</v>
      </c>
      <c r="C7" s="1000">
        <v>15</v>
      </c>
      <c r="D7" s="99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EBDAB-A9C8-4876-BC59-1815D97B95D4}">
  <dimension ref="B3:D7"/>
  <sheetViews>
    <sheetView workbookViewId="0">
      <selection activeCell="D9" sqref="D9"/>
    </sheetView>
  </sheetViews>
  <sheetFormatPr defaultRowHeight="14.4" x14ac:dyDescent="0.3"/>
  <sheetData>
    <row r="3" spans="2:4" x14ac:dyDescent="0.3">
      <c r="B3" s="138" t="s">
        <v>1190</v>
      </c>
    </row>
    <row r="5" spans="2:4" x14ac:dyDescent="0.3">
      <c r="B5" t="s">
        <v>1191</v>
      </c>
      <c r="D5" s="1000">
        <v>85</v>
      </c>
    </row>
    <row r="6" spans="2:4" x14ac:dyDescent="0.3">
      <c r="B6" t="s">
        <v>1192</v>
      </c>
      <c r="D6" s="1000">
        <v>175</v>
      </c>
    </row>
    <row r="7" spans="2:4" x14ac:dyDescent="0.3">
      <c r="B7" t="s">
        <v>1140</v>
      </c>
      <c r="D7" s="1000">
        <f>D6</f>
        <v>175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E58FC-9C72-4205-BD4B-2311FFDECCCB}">
  <dimension ref="B2:C10"/>
  <sheetViews>
    <sheetView workbookViewId="0">
      <selection activeCell="D11" sqref="D11"/>
    </sheetView>
  </sheetViews>
  <sheetFormatPr defaultRowHeight="14.4" x14ac:dyDescent="0.3"/>
  <cols>
    <col min="2" max="2" width="11.6640625" customWidth="1"/>
  </cols>
  <sheetData>
    <row r="2" spans="2:3" x14ac:dyDescent="0.3">
      <c r="B2" s="138" t="s">
        <v>1231</v>
      </c>
    </row>
    <row r="3" spans="2:3" x14ac:dyDescent="0.3">
      <c r="B3" t="s">
        <v>1220</v>
      </c>
      <c r="C3">
        <v>7</v>
      </c>
    </row>
    <row r="4" spans="2:3" x14ac:dyDescent="0.3">
      <c r="B4" t="s">
        <v>1218</v>
      </c>
      <c r="C4">
        <v>7</v>
      </c>
    </row>
    <row r="5" spans="2:3" x14ac:dyDescent="0.3">
      <c r="B5" t="s">
        <v>1139</v>
      </c>
      <c r="C5">
        <v>20</v>
      </c>
    </row>
    <row r="6" spans="2:3" x14ac:dyDescent="0.3">
      <c r="B6" t="s">
        <v>1219</v>
      </c>
      <c r="C6">
        <v>7</v>
      </c>
    </row>
    <row r="8" spans="2:3" x14ac:dyDescent="0.3">
      <c r="B8" s="138" t="s">
        <v>1232</v>
      </c>
    </row>
    <row r="9" spans="2:3" x14ac:dyDescent="0.3">
      <c r="B9" t="s">
        <v>1233</v>
      </c>
      <c r="C9">
        <v>12.8</v>
      </c>
    </row>
    <row r="10" spans="2:3" x14ac:dyDescent="0.3">
      <c r="B10" t="s">
        <v>1234</v>
      </c>
      <c r="C10">
        <v>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FAF4-3E95-4FEA-BC14-72E6AFC17FA3}">
  <dimension ref="A1:AP106"/>
  <sheetViews>
    <sheetView topLeftCell="J62" zoomScale="58" zoomScaleNormal="58" workbookViewId="0">
      <selection activeCell="U103" sqref="U103"/>
    </sheetView>
  </sheetViews>
  <sheetFormatPr defaultColWidth="9.109375" defaultRowHeight="18" x14ac:dyDescent="0.35"/>
  <cols>
    <col min="1" max="1" width="72" style="658" customWidth="1"/>
    <col min="2" max="8" width="9.21875" style="658" bestFit="1" customWidth="1"/>
    <col min="9" max="9" width="12.109375" style="658" customWidth="1"/>
    <col min="10" max="14" width="9.21875" style="658" bestFit="1" customWidth="1"/>
    <col min="15" max="15" width="8.77734375" style="658" customWidth="1"/>
    <col min="16" max="17" width="9.21875" style="658" bestFit="1" customWidth="1"/>
    <col min="18" max="18" width="11.44140625" style="658" customWidth="1"/>
    <col min="19" max="19" width="9.21875" style="658" bestFit="1" customWidth="1"/>
    <col min="20" max="20" width="12.33203125" style="658" bestFit="1" customWidth="1"/>
    <col min="21" max="21" width="27.21875" style="658" customWidth="1"/>
    <col min="22" max="22" width="17.5546875" style="658" bestFit="1" customWidth="1"/>
    <col min="23" max="23" width="21.44140625" style="658" customWidth="1"/>
    <col min="24" max="24" width="17.5546875" style="658" customWidth="1"/>
    <col min="25" max="27" width="19.6640625" style="658" customWidth="1"/>
    <col min="28" max="28" width="31.77734375" style="658" customWidth="1"/>
    <col min="29" max="29" width="16.21875" style="658" customWidth="1"/>
    <col min="30" max="30" width="18.33203125" style="658" customWidth="1"/>
    <col min="31" max="31" width="16.109375" style="658" customWidth="1"/>
    <col min="32" max="33" width="10.5546875" style="658" customWidth="1"/>
    <col min="34" max="34" width="17.33203125" style="658" customWidth="1"/>
    <col min="35" max="35" width="15.77734375" style="658" customWidth="1"/>
    <col min="36" max="36" width="15.6640625" style="736" customWidth="1"/>
    <col min="37" max="40" width="10.5546875" style="658" customWidth="1"/>
    <col min="41" max="41" width="13.5546875" style="658" customWidth="1"/>
    <col min="42" max="42" width="10.5546875" style="658" customWidth="1"/>
    <col min="43" max="16384" width="9.109375" style="658"/>
  </cols>
  <sheetData>
    <row r="1" spans="1:42" ht="24" thickBot="1" x14ac:dyDescent="0.5">
      <c r="A1" s="676" t="s">
        <v>427</v>
      </c>
    </row>
    <row r="2" spans="1:42" ht="21" x14ac:dyDescent="0.4">
      <c r="A2" s="610" t="s">
        <v>307</v>
      </c>
      <c r="B2" s="659" t="s">
        <v>290</v>
      </c>
      <c r="C2" s="659" t="s">
        <v>291</v>
      </c>
      <c r="D2" s="659" t="s">
        <v>292</v>
      </c>
      <c r="E2" s="659" t="s">
        <v>293</v>
      </c>
      <c r="F2" s="659" t="s">
        <v>294</v>
      </c>
      <c r="G2" s="659" t="s">
        <v>295</v>
      </c>
      <c r="H2" s="659" t="s">
        <v>296</v>
      </c>
      <c r="I2" s="659" t="s">
        <v>310</v>
      </c>
      <c r="J2" s="659" t="s">
        <v>311</v>
      </c>
      <c r="K2" s="659" t="s">
        <v>312</v>
      </c>
      <c r="L2" s="659" t="s">
        <v>313</v>
      </c>
      <c r="M2" s="659" t="s">
        <v>314</v>
      </c>
      <c r="N2" s="659" t="s">
        <v>315</v>
      </c>
      <c r="O2" s="659" t="s">
        <v>316</v>
      </c>
      <c r="P2" s="659" t="s">
        <v>317</v>
      </c>
      <c r="Q2" s="659" t="s">
        <v>318</v>
      </c>
      <c r="R2" s="659" t="s">
        <v>319</v>
      </c>
      <c r="S2" s="659" t="s">
        <v>320</v>
      </c>
      <c r="T2" s="659"/>
      <c r="AB2" s="1127" t="s">
        <v>426</v>
      </c>
      <c r="AC2" s="1128"/>
      <c r="AD2" s="1128"/>
      <c r="AE2" s="1128"/>
      <c r="AF2" s="1128"/>
      <c r="AG2" s="1128"/>
      <c r="AH2" s="1128"/>
      <c r="AI2" s="1128"/>
      <c r="AJ2" s="1129"/>
      <c r="AK2" s="1128"/>
      <c r="AL2" s="1128"/>
      <c r="AM2" s="1128"/>
      <c r="AN2" s="1128"/>
      <c r="AO2" s="1128"/>
      <c r="AP2" s="1130"/>
    </row>
    <row r="3" spans="1:42" x14ac:dyDescent="0.35">
      <c r="A3" s="610" t="s">
        <v>422</v>
      </c>
      <c r="C3" s="658">
        <v>1</v>
      </c>
      <c r="D3" s="658">
        <v>2</v>
      </c>
      <c r="E3" s="658">
        <v>3</v>
      </c>
      <c r="F3" s="658">
        <v>4</v>
      </c>
      <c r="G3" s="658">
        <v>5</v>
      </c>
      <c r="H3" s="658">
        <v>6</v>
      </c>
      <c r="I3" s="658">
        <v>7</v>
      </c>
      <c r="J3" s="658">
        <v>8</v>
      </c>
      <c r="K3" s="658">
        <v>9</v>
      </c>
      <c r="L3" s="658">
        <v>10</v>
      </c>
      <c r="M3" s="658">
        <v>11</v>
      </c>
      <c r="N3" s="658">
        <v>12</v>
      </c>
      <c r="O3" s="658">
        <v>13</v>
      </c>
      <c r="P3" s="658">
        <v>14</v>
      </c>
      <c r="Q3" s="658">
        <v>15</v>
      </c>
      <c r="R3" s="658">
        <v>17</v>
      </c>
      <c r="S3" s="658">
        <v>18</v>
      </c>
      <c r="AB3" s="862"/>
      <c r="AC3" s="660">
        <v>45170</v>
      </c>
      <c r="AD3" s="660">
        <v>45200</v>
      </c>
      <c r="AE3" s="660">
        <v>45231</v>
      </c>
      <c r="AF3" s="660">
        <v>45261</v>
      </c>
      <c r="AG3" s="660">
        <v>45292</v>
      </c>
      <c r="AH3" s="660">
        <v>45323</v>
      </c>
      <c r="AI3" s="660">
        <v>45352</v>
      </c>
      <c r="AJ3" s="1131">
        <v>45383</v>
      </c>
      <c r="AK3" s="660">
        <v>45413</v>
      </c>
      <c r="AL3" s="660">
        <v>45444</v>
      </c>
      <c r="AM3" s="660">
        <v>45474</v>
      </c>
      <c r="AN3" s="660">
        <v>45505</v>
      </c>
      <c r="AO3" s="658" t="s">
        <v>92</v>
      </c>
      <c r="AP3" s="863"/>
    </row>
    <row r="4" spans="1:42" ht="18.600000000000001" thickBot="1" x14ac:dyDescent="0.4">
      <c r="A4" s="661" t="s">
        <v>299</v>
      </c>
      <c r="B4" s="662">
        <v>0.25</v>
      </c>
      <c r="C4" s="662">
        <v>0.29166666666666669</v>
      </c>
      <c r="D4" s="662">
        <v>0.33333333333333331</v>
      </c>
      <c r="E4" s="662">
        <v>0.375</v>
      </c>
      <c r="F4" s="662">
        <v>0.41666666666666669</v>
      </c>
      <c r="G4" s="662">
        <v>0.45833333333333331</v>
      </c>
      <c r="H4" s="662">
        <v>0.5</v>
      </c>
      <c r="I4" s="662">
        <v>0.54166666666666663</v>
      </c>
      <c r="J4" s="662">
        <v>0.58333333333333337</v>
      </c>
      <c r="K4" s="662">
        <v>0.625</v>
      </c>
      <c r="L4" s="662">
        <v>0.66666666666666663</v>
      </c>
      <c r="M4" s="662">
        <v>0.70833333333333337</v>
      </c>
      <c r="N4" s="662">
        <v>0.75</v>
      </c>
      <c r="O4" s="662">
        <v>0.79166666666666663</v>
      </c>
      <c r="P4" s="662">
        <v>0.83333333333333337</v>
      </c>
      <c r="Q4" s="662">
        <v>0.875</v>
      </c>
      <c r="R4" s="662">
        <v>0.91666666666666663</v>
      </c>
      <c r="S4" s="662">
        <v>0.95833333333333337</v>
      </c>
      <c r="T4" s="662"/>
      <c r="AB4" s="862" t="s">
        <v>301</v>
      </c>
      <c r="AC4" s="1011">
        <v>15390</v>
      </c>
      <c r="AD4" s="1011">
        <v>12235</v>
      </c>
      <c r="AE4" s="1011">
        <v>11359</v>
      </c>
      <c r="AF4" s="1011">
        <v>19738</v>
      </c>
      <c r="AG4" s="1011">
        <v>24392</v>
      </c>
      <c r="AH4" s="1011">
        <v>25301</v>
      </c>
      <c r="AI4" s="1011">
        <v>23546</v>
      </c>
      <c r="AJ4" s="1132">
        <v>18830</v>
      </c>
      <c r="AK4" s="1011">
        <v>19932</v>
      </c>
      <c r="AL4" s="1011">
        <v>24029</v>
      </c>
      <c r="AM4" s="1011">
        <v>25365</v>
      </c>
      <c r="AN4" s="1011">
        <v>24121</v>
      </c>
      <c r="AO4" s="1011">
        <v>244238</v>
      </c>
      <c r="AP4" s="863"/>
    </row>
    <row r="5" spans="1:42" ht="18.600000000000001" thickBot="1" x14ac:dyDescent="0.4">
      <c r="A5" s="663" t="s">
        <v>5</v>
      </c>
      <c r="B5" s="663"/>
      <c r="C5" s="663">
        <v>9</v>
      </c>
      <c r="D5" s="663">
        <v>10</v>
      </c>
      <c r="E5" s="663">
        <v>10</v>
      </c>
      <c r="F5" s="663">
        <v>10</v>
      </c>
      <c r="G5" s="663">
        <v>8</v>
      </c>
      <c r="H5" s="663">
        <v>8</v>
      </c>
      <c r="I5" s="663">
        <v>8</v>
      </c>
      <c r="J5" s="663">
        <v>9</v>
      </c>
      <c r="K5" s="663">
        <v>9</v>
      </c>
      <c r="L5" s="663">
        <v>10</v>
      </c>
      <c r="M5" s="663">
        <v>10</v>
      </c>
      <c r="N5" s="663">
        <v>10</v>
      </c>
      <c r="O5" s="663">
        <v>10</v>
      </c>
      <c r="P5" s="663">
        <v>9</v>
      </c>
      <c r="Q5" s="663">
        <v>9</v>
      </c>
      <c r="R5" s="663">
        <v>8</v>
      </c>
      <c r="S5" s="663"/>
      <c r="T5" s="663"/>
      <c r="U5" s="1065" t="s">
        <v>400</v>
      </c>
      <c r="V5" s="1084" t="s">
        <v>417</v>
      </c>
      <c r="W5" s="1023" t="s">
        <v>246</v>
      </c>
      <c r="X5" s="1018" t="s">
        <v>412</v>
      </c>
      <c r="Y5" s="1018" t="s">
        <v>301</v>
      </c>
      <c r="Z5" s="1085" t="s">
        <v>504</v>
      </c>
      <c r="AA5" s="1051"/>
      <c r="AB5" s="862" t="s">
        <v>302</v>
      </c>
      <c r="AC5" s="1011">
        <v>1929</v>
      </c>
      <c r="AD5" s="1011">
        <v>1430</v>
      </c>
      <c r="AE5" s="1011">
        <v>1315</v>
      </c>
      <c r="AF5" s="1011">
        <v>1924</v>
      </c>
      <c r="AG5" s="1011">
        <v>2463</v>
      </c>
      <c r="AH5" s="1011">
        <v>2572</v>
      </c>
      <c r="AI5" s="1011">
        <v>2619</v>
      </c>
      <c r="AJ5" s="1132">
        <v>2062</v>
      </c>
      <c r="AK5" s="1011">
        <v>2047</v>
      </c>
      <c r="AL5" s="1011">
        <v>2507</v>
      </c>
      <c r="AM5" s="1011">
        <v>2655</v>
      </c>
      <c r="AN5" s="1011">
        <v>2585</v>
      </c>
      <c r="AO5" s="1011">
        <v>26108</v>
      </c>
      <c r="AP5" s="863"/>
    </row>
    <row r="6" spans="1:42" x14ac:dyDescent="0.35">
      <c r="A6" s="658" t="s">
        <v>1193</v>
      </c>
      <c r="C6" s="658">
        <v>5</v>
      </c>
      <c r="D6" s="658">
        <v>5</v>
      </c>
      <c r="E6" s="658">
        <v>5</v>
      </c>
      <c r="F6" s="658">
        <v>5</v>
      </c>
      <c r="G6" s="658">
        <v>5</v>
      </c>
      <c r="H6" s="658">
        <v>5</v>
      </c>
      <c r="I6" s="658">
        <v>5</v>
      </c>
      <c r="J6" s="658">
        <v>5</v>
      </c>
      <c r="K6" s="658">
        <v>5</v>
      </c>
      <c r="L6" s="658">
        <v>5</v>
      </c>
      <c r="M6" s="658">
        <v>5</v>
      </c>
      <c r="N6" s="658">
        <v>5</v>
      </c>
      <c r="O6" s="658">
        <v>5</v>
      </c>
      <c r="P6" s="658">
        <v>5</v>
      </c>
      <c r="R6" s="784"/>
      <c r="S6" s="784"/>
      <c r="T6" s="784"/>
      <c r="U6" s="673">
        <v>8</v>
      </c>
      <c r="V6" s="1025"/>
      <c r="W6" s="661"/>
      <c r="X6" s="1035"/>
      <c r="Y6" s="1035"/>
      <c r="Z6" s="1026"/>
      <c r="AA6" s="1003"/>
      <c r="AB6" s="862" t="s">
        <v>303</v>
      </c>
      <c r="AC6" s="1011">
        <v>2088</v>
      </c>
      <c r="AD6" s="1011">
        <v>1529</v>
      </c>
      <c r="AE6" s="1011">
        <v>1412</v>
      </c>
      <c r="AF6" s="1011">
        <v>2056</v>
      </c>
      <c r="AG6" s="1011">
        <v>2630</v>
      </c>
      <c r="AH6" s="1011">
        <v>2753</v>
      </c>
      <c r="AI6" s="1011">
        <v>2822</v>
      </c>
      <c r="AJ6" s="1132">
        <v>2230</v>
      </c>
      <c r="AK6" s="1011">
        <v>2221</v>
      </c>
      <c r="AL6" s="1011">
        <v>2717</v>
      </c>
      <c r="AM6" s="1011">
        <v>2880</v>
      </c>
      <c r="AN6" s="1011">
        <v>2825</v>
      </c>
      <c r="AO6" s="1011">
        <v>28163</v>
      </c>
      <c r="AP6" s="863"/>
    </row>
    <row r="7" spans="1:42" x14ac:dyDescent="0.35">
      <c r="A7" s="658" t="s">
        <v>423</v>
      </c>
      <c r="C7" s="658">
        <v>2</v>
      </c>
      <c r="D7" s="658">
        <v>2</v>
      </c>
      <c r="E7" s="658">
        <v>2</v>
      </c>
      <c r="F7" s="658">
        <v>2</v>
      </c>
      <c r="G7" s="658">
        <v>2</v>
      </c>
      <c r="H7" s="658">
        <v>2</v>
      </c>
      <c r="I7" s="658">
        <v>2</v>
      </c>
      <c r="J7" s="658">
        <v>2</v>
      </c>
      <c r="K7" s="658">
        <v>2</v>
      </c>
      <c r="L7" s="658">
        <v>2</v>
      </c>
      <c r="M7" s="658">
        <v>2</v>
      </c>
      <c r="N7" s="658">
        <v>2</v>
      </c>
      <c r="O7" s="658">
        <v>2</v>
      </c>
      <c r="P7" s="658">
        <v>2</v>
      </c>
      <c r="Q7" s="658">
        <v>2</v>
      </c>
      <c r="R7" s="658">
        <v>2</v>
      </c>
      <c r="U7" s="673"/>
      <c r="V7" s="1025"/>
      <c r="W7" s="661"/>
      <c r="X7" s="1035"/>
      <c r="Y7" s="1035"/>
      <c r="Z7" s="1026"/>
      <c r="AA7" s="1003"/>
      <c r="AB7" s="862" t="s">
        <v>304</v>
      </c>
      <c r="AC7" s="1011">
        <v>23772</v>
      </c>
      <c r="AD7" s="1011">
        <v>18326</v>
      </c>
      <c r="AE7" s="1011">
        <v>17325</v>
      </c>
      <c r="AF7" s="1011">
        <v>23657</v>
      </c>
      <c r="AG7" s="1011">
        <v>29638</v>
      </c>
      <c r="AH7" s="1011">
        <v>31591</v>
      </c>
      <c r="AI7" s="1011">
        <v>35502</v>
      </c>
      <c r="AJ7" s="1132">
        <v>28463</v>
      </c>
      <c r="AK7" s="1011">
        <v>27637</v>
      </c>
      <c r="AL7" s="1011">
        <v>32486</v>
      </c>
      <c r="AM7" s="1011">
        <v>33127</v>
      </c>
      <c r="AN7" s="1011">
        <v>33199</v>
      </c>
      <c r="AO7" s="1011">
        <v>334723</v>
      </c>
      <c r="AP7" s="863"/>
    </row>
    <row r="8" spans="1:42" s="661" customFormat="1" ht="18.600000000000001" thickBot="1" x14ac:dyDescent="0.4">
      <c r="A8" s="663" t="s">
        <v>300</v>
      </c>
      <c r="B8" s="663"/>
      <c r="C8" s="663">
        <f t="shared" ref="C8:R8" si="0">C7+C6</f>
        <v>7</v>
      </c>
      <c r="D8" s="663">
        <f t="shared" si="0"/>
        <v>7</v>
      </c>
      <c r="E8" s="663">
        <f t="shared" si="0"/>
        <v>7</v>
      </c>
      <c r="F8" s="663">
        <f t="shared" si="0"/>
        <v>7</v>
      </c>
      <c r="G8" s="663">
        <f t="shared" si="0"/>
        <v>7</v>
      </c>
      <c r="H8" s="663">
        <f t="shared" si="0"/>
        <v>7</v>
      </c>
      <c r="I8" s="663">
        <f t="shared" si="0"/>
        <v>7</v>
      </c>
      <c r="J8" s="663">
        <f t="shared" si="0"/>
        <v>7</v>
      </c>
      <c r="K8" s="663">
        <f t="shared" si="0"/>
        <v>7</v>
      </c>
      <c r="L8" s="663">
        <f t="shared" si="0"/>
        <v>7</v>
      </c>
      <c r="M8" s="663">
        <f t="shared" si="0"/>
        <v>7</v>
      </c>
      <c r="N8" s="663">
        <f t="shared" si="0"/>
        <v>7</v>
      </c>
      <c r="O8" s="663">
        <f t="shared" si="0"/>
        <v>7</v>
      </c>
      <c r="P8" s="663">
        <f t="shared" si="0"/>
        <v>7</v>
      </c>
      <c r="Q8" s="663">
        <f t="shared" si="0"/>
        <v>2</v>
      </c>
      <c r="R8" s="663">
        <f t="shared" si="0"/>
        <v>2</v>
      </c>
      <c r="S8" s="663"/>
      <c r="T8" s="663"/>
      <c r="U8" s="673"/>
      <c r="V8" s="1025"/>
      <c r="X8" s="1035"/>
      <c r="Y8" s="1035"/>
      <c r="Z8" s="1026"/>
      <c r="AA8" s="1003"/>
      <c r="AB8" s="1133" t="s">
        <v>305</v>
      </c>
      <c r="AC8" s="1013">
        <v>25004</v>
      </c>
      <c r="AD8" s="1013">
        <v>19081</v>
      </c>
      <c r="AE8" s="1013">
        <v>18119</v>
      </c>
      <c r="AF8" s="1013">
        <v>24593</v>
      </c>
      <c r="AG8" s="1013">
        <v>30803</v>
      </c>
      <c r="AH8" s="1013">
        <v>32863</v>
      </c>
      <c r="AI8" s="1013">
        <v>33785</v>
      </c>
      <c r="AJ8" s="1132">
        <v>29681</v>
      </c>
      <c r="AK8" s="1013">
        <v>28887</v>
      </c>
      <c r="AL8" s="1013">
        <v>33981</v>
      </c>
      <c r="AM8" s="1013">
        <v>34744</v>
      </c>
      <c r="AN8" s="1013">
        <v>34825</v>
      </c>
      <c r="AO8" s="1013">
        <v>346366</v>
      </c>
      <c r="AP8" s="1134"/>
    </row>
    <row r="9" spans="1:42" x14ac:dyDescent="0.35">
      <c r="A9" s="661" t="s">
        <v>401</v>
      </c>
      <c r="U9" s="1017" t="s">
        <v>1212</v>
      </c>
      <c r="V9" s="1025"/>
      <c r="W9" s="661"/>
      <c r="X9" s="1035"/>
      <c r="Y9" s="1035"/>
      <c r="Z9" s="1026"/>
      <c r="AA9" s="1003"/>
      <c r="AB9" s="862" t="s">
        <v>306</v>
      </c>
      <c r="AC9" s="1011">
        <v>24785</v>
      </c>
      <c r="AD9" s="1011">
        <v>19110</v>
      </c>
      <c r="AE9" s="1011">
        <v>17402</v>
      </c>
      <c r="AF9" s="1011">
        <v>29440</v>
      </c>
      <c r="AG9" s="1011">
        <v>38011</v>
      </c>
      <c r="AH9" s="1011">
        <v>41594</v>
      </c>
      <c r="AI9" s="1011">
        <v>38682</v>
      </c>
      <c r="AJ9" s="1132">
        <v>33069</v>
      </c>
      <c r="AK9" s="1011">
        <v>37284</v>
      </c>
      <c r="AL9" s="1011">
        <v>47653</v>
      </c>
      <c r="AM9" s="1011">
        <v>48929</v>
      </c>
      <c r="AN9" s="1011">
        <v>46932</v>
      </c>
      <c r="AO9" s="1011">
        <v>422891</v>
      </c>
      <c r="AP9" s="863"/>
    </row>
    <row r="10" spans="1:42" x14ac:dyDescent="0.35">
      <c r="A10" s="658" t="s">
        <v>1193</v>
      </c>
      <c r="C10" s="658">
        <f t="shared" ref="C10:Q10" si="1">C5*C6</f>
        <v>45</v>
      </c>
      <c r="D10" s="658">
        <f t="shared" si="1"/>
        <v>50</v>
      </c>
      <c r="E10" s="658">
        <f t="shared" si="1"/>
        <v>50</v>
      </c>
      <c r="F10" s="658">
        <f t="shared" si="1"/>
        <v>50</v>
      </c>
      <c r="G10" s="658">
        <f t="shared" si="1"/>
        <v>40</v>
      </c>
      <c r="H10" s="658">
        <f t="shared" si="1"/>
        <v>40</v>
      </c>
      <c r="I10" s="658">
        <f t="shared" si="1"/>
        <v>40</v>
      </c>
      <c r="J10" s="658">
        <f t="shared" si="1"/>
        <v>45</v>
      </c>
      <c r="K10" s="658">
        <f t="shared" si="1"/>
        <v>45</v>
      </c>
      <c r="L10" s="658">
        <f t="shared" si="1"/>
        <v>50</v>
      </c>
      <c r="M10" s="658">
        <f t="shared" si="1"/>
        <v>50</v>
      </c>
      <c r="N10" s="658">
        <f t="shared" si="1"/>
        <v>50</v>
      </c>
      <c r="O10" s="658">
        <f t="shared" si="1"/>
        <v>50</v>
      </c>
      <c r="P10" s="658">
        <f t="shared" si="1"/>
        <v>45</v>
      </c>
      <c r="Q10" s="658">
        <f t="shared" si="1"/>
        <v>0</v>
      </c>
      <c r="R10" s="658">
        <f>R5*R6</f>
        <v>0</v>
      </c>
      <c r="U10" s="673">
        <f>SUM(B10:T10)</f>
        <v>650</v>
      </c>
      <c r="V10" s="1025"/>
      <c r="W10" s="661"/>
      <c r="X10" s="1035"/>
      <c r="Y10" s="1035"/>
      <c r="Z10" s="1026"/>
      <c r="AA10" s="1003"/>
      <c r="AB10" s="862"/>
      <c r="AC10" s="1011"/>
      <c r="AD10" s="1011"/>
      <c r="AE10" s="1011"/>
      <c r="AF10" s="1011"/>
      <c r="AG10" s="1011"/>
      <c r="AH10" s="1011"/>
      <c r="AI10" s="1011"/>
      <c r="AJ10" s="1132"/>
      <c r="AK10" s="1011"/>
      <c r="AL10" s="1011"/>
      <c r="AM10" s="1011"/>
      <c r="AN10" s="1011"/>
      <c r="AO10" s="1011"/>
      <c r="AP10" s="863"/>
    </row>
    <row r="11" spans="1:42" x14ac:dyDescent="0.35">
      <c r="A11" s="658" t="s">
        <v>423</v>
      </c>
      <c r="C11" s="658">
        <f t="shared" ref="C11:Q11" si="2">C5*C7</f>
        <v>18</v>
      </c>
      <c r="D11" s="658">
        <f t="shared" si="2"/>
        <v>20</v>
      </c>
      <c r="E11" s="658">
        <f t="shared" si="2"/>
        <v>20</v>
      </c>
      <c r="F11" s="658">
        <f t="shared" si="2"/>
        <v>20</v>
      </c>
      <c r="G11" s="658">
        <f t="shared" si="2"/>
        <v>16</v>
      </c>
      <c r="H11" s="658">
        <f t="shared" si="2"/>
        <v>16</v>
      </c>
      <c r="I11" s="658">
        <f t="shared" si="2"/>
        <v>16</v>
      </c>
      <c r="J11" s="658">
        <f t="shared" si="2"/>
        <v>18</v>
      </c>
      <c r="K11" s="658">
        <f t="shared" si="2"/>
        <v>18</v>
      </c>
      <c r="L11" s="658">
        <f t="shared" si="2"/>
        <v>20</v>
      </c>
      <c r="M11" s="658">
        <f t="shared" si="2"/>
        <v>20</v>
      </c>
      <c r="N11" s="658">
        <f t="shared" si="2"/>
        <v>20</v>
      </c>
      <c r="O11" s="658">
        <f t="shared" si="2"/>
        <v>20</v>
      </c>
      <c r="P11" s="658">
        <f t="shared" si="2"/>
        <v>18</v>
      </c>
      <c r="Q11" s="658">
        <f t="shared" si="2"/>
        <v>18</v>
      </c>
      <c r="R11" s="658">
        <f>R5*R7</f>
        <v>16</v>
      </c>
      <c r="U11" s="673">
        <f>SUM(B11:T11)</f>
        <v>294</v>
      </c>
      <c r="V11" s="1025"/>
      <c r="W11" s="661"/>
      <c r="X11" s="1035"/>
      <c r="Y11" s="1035"/>
      <c r="Z11" s="1098"/>
      <c r="AA11" s="1003"/>
      <c r="AB11" s="862" t="s">
        <v>301</v>
      </c>
      <c r="AC11" s="1135">
        <v>6.3012307667111592E-2</v>
      </c>
      <c r="AD11" s="1136">
        <v>5.0094579877005219E-2</v>
      </c>
      <c r="AE11" s="1136">
        <v>4.6507914411352859E-2</v>
      </c>
      <c r="AF11" s="1135">
        <v>8.0814615252335839E-2</v>
      </c>
      <c r="AG11" s="1137">
        <v>9.9869799130356457E-2</v>
      </c>
      <c r="AH11" s="1137">
        <v>0.10359157870601626</v>
      </c>
      <c r="AI11" s="1137">
        <v>9.6405964673801789E-2</v>
      </c>
      <c r="AJ11" s="1138">
        <v>7.7096930043645956E-2</v>
      </c>
      <c r="AK11" s="1135">
        <v>8.1608922444500853E-2</v>
      </c>
      <c r="AL11" s="1137">
        <v>9.8383543920274485E-2</v>
      </c>
      <c r="AM11" s="1137">
        <v>0.10385361819209132</v>
      </c>
      <c r="AN11" s="1137">
        <v>9.8760225681507385E-2</v>
      </c>
      <c r="AO11" s="1139">
        <v>1</v>
      </c>
      <c r="AP11" s="863"/>
    </row>
    <row r="12" spans="1:42" ht="18.600000000000001" thickBot="1" x14ac:dyDescent="0.4">
      <c r="A12" s="663" t="s">
        <v>1210</v>
      </c>
      <c r="B12" s="663"/>
      <c r="C12" s="663">
        <f t="shared" ref="C12:Q12" si="3">SUM(C10:C11)</f>
        <v>63</v>
      </c>
      <c r="D12" s="663">
        <f t="shared" si="3"/>
        <v>70</v>
      </c>
      <c r="E12" s="663">
        <f t="shared" si="3"/>
        <v>70</v>
      </c>
      <c r="F12" s="663">
        <f t="shared" si="3"/>
        <v>70</v>
      </c>
      <c r="G12" s="663">
        <f t="shared" si="3"/>
        <v>56</v>
      </c>
      <c r="H12" s="663">
        <f t="shared" si="3"/>
        <v>56</v>
      </c>
      <c r="I12" s="663">
        <f t="shared" si="3"/>
        <v>56</v>
      </c>
      <c r="J12" s="663">
        <f t="shared" si="3"/>
        <v>63</v>
      </c>
      <c r="K12" s="663">
        <f t="shared" si="3"/>
        <v>63</v>
      </c>
      <c r="L12" s="663">
        <f t="shared" si="3"/>
        <v>70</v>
      </c>
      <c r="M12" s="663">
        <f t="shared" si="3"/>
        <v>70</v>
      </c>
      <c r="N12" s="663">
        <f t="shared" si="3"/>
        <v>70</v>
      </c>
      <c r="O12" s="663">
        <f t="shared" si="3"/>
        <v>70</v>
      </c>
      <c r="P12" s="663">
        <f t="shared" si="3"/>
        <v>63</v>
      </c>
      <c r="Q12" s="663">
        <f t="shared" si="3"/>
        <v>18</v>
      </c>
      <c r="R12" s="663">
        <f>SUM(R10:R11)</f>
        <v>16</v>
      </c>
      <c r="S12" s="663"/>
      <c r="T12" s="663"/>
      <c r="U12" s="670">
        <f>SUM(U10:U11)</f>
        <v>944</v>
      </c>
      <c r="V12" s="1068">
        <f>U12*U6</f>
        <v>7552</v>
      </c>
      <c r="W12" s="1024">
        <f>V12*'VRH Rates'!D5</f>
        <v>641920</v>
      </c>
      <c r="X12" s="1034">
        <f>V12*$AC$24</f>
        <v>96947.234663801486</v>
      </c>
      <c r="Y12" s="1034">
        <f>V12*'Avg Pass, Mile Per Hr'!C4</f>
        <v>52864</v>
      </c>
      <c r="Z12" s="1027">
        <f>Y12*'Fare Assumptions'!C4</f>
        <v>0</v>
      </c>
      <c r="AA12" s="1002"/>
      <c r="AB12" s="862" t="s">
        <v>302</v>
      </c>
      <c r="AC12" s="1139">
        <v>7.388539911138349E-2</v>
      </c>
      <c r="AD12" s="1139">
        <v>5.4772483529952502E-2</v>
      </c>
      <c r="AE12" s="1139">
        <v>5.0367703385935346E-2</v>
      </c>
      <c r="AF12" s="1139">
        <v>7.3693886931208819E-2</v>
      </c>
      <c r="AG12" s="1139">
        <v>9.4338899954037075E-2</v>
      </c>
      <c r="AH12" s="1139">
        <v>9.851386548184464E-2</v>
      </c>
      <c r="AI12" s="1139">
        <v>0.10031407997548644</v>
      </c>
      <c r="AJ12" s="1140">
        <v>7.8979623104029423E-2</v>
      </c>
      <c r="AK12" s="1139">
        <v>7.8405086563505436E-2</v>
      </c>
      <c r="AL12" s="1139">
        <v>9.6024207139574075E-2</v>
      </c>
      <c r="AM12" s="1139">
        <v>0.10169296767274398</v>
      </c>
      <c r="AN12" s="1139">
        <v>9.9011797150298758E-2</v>
      </c>
      <c r="AO12" s="1139">
        <v>0.99999999999999989</v>
      </c>
      <c r="AP12" s="863"/>
    </row>
    <row r="13" spans="1:42" x14ac:dyDescent="0.35">
      <c r="U13" s="661"/>
      <c r="V13" s="1009"/>
      <c r="W13" s="1009"/>
      <c r="X13" s="1009"/>
      <c r="Y13" s="1009"/>
      <c r="Z13" s="1009"/>
      <c r="AA13" s="1041"/>
      <c r="AB13" s="862" t="s">
        <v>303</v>
      </c>
      <c r="AC13" s="1139">
        <v>7.413982885346021E-2</v>
      </c>
      <c r="AD13" s="1139">
        <v>5.4291091147960088E-2</v>
      </c>
      <c r="AE13" s="1139">
        <v>5.0136704186343785E-2</v>
      </c>
      <c r="AF13" s="1139">
        <v>7.3003586265667719E-2</v>
      </c>
      <c r="AG13" s="1139">
        <v>9.3384937684195576E-2</v>
      </c>
      <c r="AH13" s="1139">
        <v>9.7752370131022975E-2</v>
      </c>
      <c r="AI13" s="1139">
        <v>0.10020239321095054</v>
      </c>
      <c r="AJ13" s="1140">
        <v>7.9181905336789399E-2</v>
      </c>
      <c r="AK13" s="1139">
        <v>7.8862337108972766E-2</v>
      </c>
      <c r="AL13" s="1139">
        <v>9.6474097219756416E-2</v>
      </c>
      <c r="AM13" s="1139">
        <v>0.10226183290132443</v>
      </c>
      <c r="AN13" s="1139">
        <v>0.10030891595355608</v>
      </c>
      <c r="AO13" s="1139">
        <v>0.99999999999999989</v>
      </c>
      <c r="AP13" s="863"/>
    </row>
    <row r="14" spans="1:42" ht="18.600000000000001" thickBot="1" x14ac:dyDescent="0.4">
      <c r="A14" s="610" t="s">
        <v>308</v>
      </c>
      <c r="W14" s="1015"/>
      <c r="X14" s="1015"/>
      <c r="Y14" s="1015"/>
      <c r="Z14" s="1015"/>
      <c r="AA14" s="1042"/>
      <c r="AB14" s="862" t="s">
        <v>304</v>
      </c>
      <c r="AC14" s="1139">
        <v>7.1019917962016357E-2</v>
      </c>
      <c r="AD14" s="1139">
        <v>5.4749748299340054E-2</v>
      </c>
      <c r="AE14" s="1139">
        <v>5.1759215829208033E-2</v>
      </c>
      <c r="AF14" s="1139">
        <v>7.0676350295617571E-2</v>
      </c>
      <c r="AG14" s="1139">
        <v>8.854485649327952E-2</v>
      </c>
      <c r="AH14" s="1139">
        <v>9.4379531732208422E-2</v>
      </c>
      <c r="AI14" s="1139">
        <v>0.10606381993469227</v>
      </c>
      <c r="AJ14" s="1140">
        <v>8.5034491206161508E-2</v>
      </c>
      <c r="AK14" s="1139">
        <v>8.256677909794069E-2</v>
      </c>
      <c r="AL14" s="1139">
        <v>9.7053384440268523E-2</v>
      </c>
      <c r="AM14" s="1139">
        <v>9.8968400737326087E-2</v>
      </c>
      <c r="AN14" s="1139">
        <v>9.9183503971940978E-2</v>
      </c>
      <c r="AO14" s="1139">
        <v>1</v>
      </c>
      <c r="AP14" s="863"/>
    </row>
    <row r="15" spans="1:42" ht="18.600000000000001" thickBot="1" x14ac:dyDescent="0.4">
      <c r="A15" s="663" t="s">
        <v>5</v>
      </c>
      <c r="B15" s="663"/>
      <c r="C15" s="663">
        <v>11</v>
      </c>
      <c r="D15" s="663">
        <v>11</v>
      </c>
      <c r="E15" s="663">
        <v>11</v>
      </c>
      <c r="F15" s="663">
        <v>10</v>
      </c>
      <c r="G15" s="663">
        <v>10</v>
      </c>
      <c r="H15" s="663">
        <v>10</v>
      </c>
      <c r="I15" s="663">
        <v>9</v>
      </c>
      <c r="J15" s="663">
        <v>9</v>
      </c>
      <c r="K15" s="663">
        <v>9</v>
      </c>
      <c r="L15" s="663">
        <v>11</v>
      </c>
      <c r="M15" s="663">
        <v>11</v>
      </c>
      <c r="N15" s="663">
        <v>11</v>
      </c>
      <c r="O15" s="663">
        <v>11</v>
      </c>
      <c r="P15" s="663">
        <v>9</v>
      </c>
      <c r="Q15" s="663">
        <v>9</v>
      </c>
      <c r="R15" s="663">
        <v>8</v>
      </c>
      <c r="S15" s="663"/>
      <c r="T15" s="663"/>
      <c r="U15" s="1065" t="s">
        <v>400</v>
      </c>
      <c r="V15" s="1084" t="s">
        <v>417</v>
      </c>
      <c r="W15" s="1023" t="s">
        <v>246</v>
      </c>
      <c r="X15" s="1084" t="s">
        <v>412</v>
      </c>
      <c r="Y15" s="1084" t="s">
        <v>301</v>
      </c>
      <c r="Z15" s="1085" t="s">
        <v>504</v>
      </c>
      <c r="AA15" s="1051"/>
      <c r="AB15" s="862" t="s">
        <v>305</v>
      </c>
      <c r="AC15" s="1139">
        <v>7.2189533614731238E-2</v>
      </c>
      <c r="AD15" s="1139">
        <v>5.50891253760473E-2</v>
      </c>
      <c r="AE15" s="1139">
        <v>5.231171650797134E-2</v>
      </c>
      <c r="AF15" s="1139">
        <v>7.1002927539077165E-2</v>
      </c>
      <c r="AG15" s="1139">
        <v>8.8931939047135117E-2</v>
      </c>
      <c r="AH15" s="1139">
        <v>9.4879405022432917E-2</v>
      </c>
      <c r="AI15" s="1139">
        <v>9.7541329114289504E-2</v>
      </c>
      <c r="AJ15" s="1140">
        <v>8.5692591074181645E-2</v>
      </c>
      <c r="AK15" s="1139">
        <v>8.3400218266227052E-2</v>
      </c>
      <c r="AL15" s="1139">
        <v>9.8107204517764446E-2</v>
      </c>
      <c r="AM15" s="1139">
        <v>0.10031007662414902</v>
      </c>
      <c r="AN15" s="1139">
        <v>0.10054393329599326</v>
      </c>
      <c r="AO15" s="1139">
        <v>1</v>
      </c>
      <c r="AP15" s="863"/>
    </row>
    <row r="16" spans="1:42" x14ac:dyDescent="0.35">
      <c r="A16" s="658" t="s">
        <v>1193</v>
      </c>
      <c r="C16" s="658">
        <v>5</v>
      </c>
      <c r="D16" s="658">
        <v>5</v>
      </c>
      <c r="E16" s="658">
        <v>5</v>
      </c>
      <c r="F16" s="658">
        <v>5</v>
      </c>
      <c r="G16" s="658">
        <v>5</v>
      </c>
      <c r="H16" s="658">
        <v>5</v>
      </c>
      <c r="I16" s="658">
        <v>5</v>
      </c>
      <c r="J16" s="658">
        <v>5</v>
      </c>
      <c r="K16" s="658">
        <v>5</v>
      </c>
      <c r="L16" s="658">
        <v>5</v>
      </c>
      <c r="M16" s="658">
        <v>5</v>
      </c>
      <c r="N16" s="658">
        <v>5</v>
      </c>
      <c r="O16" s="658">
        <v>5</v>
      </c>
      <c r="P16" s="658">
        <v>5</v>
      </c>
      <c r="R16" s="784"/>
      <c r="S16" s="784"/>
      <c r="T16" s="784"/>
      <c r="U16" s="673">
        <v>27</v>
      </c>
      <c r="V16" s="1066"/>
      <c r="W16" s="1010"/>
      <c r="X16" s="1036"/>
      <c r="Y16" s="1019"/>
      <c r="Z16" s="1026"/>
      <c r="AA16" s="1003"/>
      <c r="AB16" s="862" t="s">
        <v>306</v>
      </c>
      <c r="AC16" s="1139">
        <v>5.8608483037000079E-2</v>
      </c>
      <c r="AD16" s="1139">
        <v>4.5188949398308309E-2</v>
      </c>
      <c r="AE16" s="1139">
        <v>4.1150083591280022E-2</v>
      </c>
      <c r="AF16" s="1139">
        <v>6.9616047634023903E-2</v>
      </c>
      <c r="AG16" s="1139">
        <v>8.9883681610627791E-2</v>
      </c>
      <c r="AH16" s="1139">
        <v>9.8356314038369225E-2</v>
      </c>
      <c r="AI16" s="1139">
        <v>9.1470378891960344E-2</v>
      </c>
      <c r="AJ16" s="1140">
        <v>7.8197455136193486E-2</v>
      </c>
      <c r="AK16" s="1139">
        <v>8.816456249955662E-2</v>
      </c>
      <c r="AL16" s="1139">
        <v>0.11268388308098304</v>
      </c>
      <c r="AM16" s="1139">
        <v>0.11570120905859903</v>
      </c>
      <c r="AN16" s="1139">
        <v>0.11097895202309815</v>
      </c>
      <c r="AO16" s="1139">
        <v>1</v>
      </c>
      <c r="AP16" s="863"/>
    </row>
    <row r="17" spans="1:42" x14ac:dyDescent="0.35">
      <c r="A17" s="658" t="s">
        <v>423</v>
      </c>
      <c r="C17" s="658">
        <v>2</v>
      </c>
      <c r="D17" s="658">
        <v>2</v>
      </c>
      <c r="E17" s="658">
        <v>2</v>
      </c>
      <c r="F17" s="658">
        <v>2</v>
      </c>
      <c r="G17" s="658">
        <v>2</v>
      </c>
      <c r="H17" s="658">
        <v>2</v>
      </c>
      <c r="I17" s="658">
        <v>2</v>
      </c>
      <c r="J17" s="658">
        <v>2</v>
      </c>
      <c r="K17" s="658">
        <v>2</v>
      </c>
      <c r="L17" s="658">
        <v>2</v>
      </c>
      <c r="M17" s="658">
        <v>2</v>
      </c>
      <c r="N17" s="658">
        <v>2</v>
      </c>
      <c r="O17" s="658">
        <v>2</v>
      </c>
      <c r="P17" s="658">
        <v>2</v>
      </c>
      <c r="Q17" s="658">
        <v>2</v>
      </c>
      <c r="R17" s="658">
        <v>2</v>
      </c>
      <c r="U17" s="666"/>
      <c r="V17" s="1066"/>
      <c r="W17" s="1010"/>
      <c r="X17" s="1036"/>
      <c r="Y17" s="1019"/>
      <c r="Z17" s="1026"/>
      <c r="AA17" s="1003"/>
      <c r="AB17" s="862"/>
      <c r="AJ17" s="1141"/>
      <c r="AP17" s="863"/>
    </row>
    <row r="18" spans="1:42" ht="18.600000000000001" thickBot="1" x14ac:dyDescent="0.4">
      <c r="A18" s="663" t="s">
        <v>300</v>
      </c>
      <c r="B18" s="663"/>
      <c r="C18" s="663">
        <f t="shared" ref="C18:R18" si="4">C17+C16</f>
        <v>7</v>
      </c>
      <c r="D18" s="663">
        <f t="shared" si="4"/>
        <v>7</v>
      </c>
      <c r="E18" s="663">
        <f t="shared" si="4"/>
        <v>7</v>
      </c>
      <c r="F18" s="663">
        <f t="shared" si="4"/>
        <v>7</v>
      </c>
      <c r="G18" s="663">
        <f t="shared" si="4"/>
        <v>7</v>
      </c>
      <c r="H18" s="663">
        <f t="shared" si="4"/>
        <v>7</v>
      </c>
      <c r="I18" s="663">
        <f t="shared" si="4"/>
        <v>7</v>
      </c>
      <c r="J18" s="663">
        <f t="shared" si="4"/>
        <v>7</v>
      </c>
      <c r="K18" s="663">
        <f t="shared" si="4"/>
        <v>7</v>
      </c>
      <c r="L18" s="663">
        <f t="shared" si="4"/>
        <v>7</v>
      </c>
      <c r="M18" s="663">
        <f t="shared" si="4"/>
        <v>7</v>
      </c>
      <c r="N18" s="663">
        <f t="shared" si="4"/>
        <v>7</v>
      </c>
      <c r="O18" s="663">
        <f t="shared" si="4"/>
        <v>7</v>
      </c>
      <c r="P18" s="663">
        <f t="shared" si="4"/>
        <v>7</v>
      </c>
      <c r="Q18" s="663">
        <f t="shared" si="4"/>
        <v>2</v>
      </c>
      <c r="R18" s="663">
        <f t="shared" si="4"/>
        <v>2</v>
      </c>
      <c r="S18" s="663"/>
      <c r="T18" s="663"/>
      <c r="U18" s="666"/>
      <c r="V18" s="1025"/>
      <c r="W18" s="1009"/>
      <c r="X18" s="1037"/>
      <c r="Y18" s="1020"/>
      <c r="Z18" s="1026"/>
      <c r="AA18" s="1003"/>
      <c r="AB18" s="862"/>
      <c r="AJ18" s="1141"/>
      <c r="AP18" s="863"/>
    </row>
    <row r="19" spans="1:42" x14ac:dyDescent="0.35">
      <c r="A19" s="661" t="s">
        <v>401</v>
      </c>
      <c r="U19" s="1017" t="s">
        <v>1212</v>
      </c>
      <c r="V19" s="1066"/>
      <c r="W19" s="1010"/>
      <c r="X19" s="1036"/>
      <c r="Y19" s="1019"/>
      <c r="Z19" s="1026"/>
      <c r="AA19" s="1003"/>
      <c r="AB19" s="862"/>
      <c r="AD19" s="675"/>
      <c r="AJ19" s="1141"/>
      <c r="AP19" s="863"/>
    </row>
    <row r="20" spans="1:42" x14ac:dyDescent="0.35">
      <c r="A20" s="658" t="s">
        <v>1193</v>
      </c>
      <c r="C20" s="658">
        <f t="shared" ref="C20:R20" si="5">C15*C16</f>
        <v>55</v>
      </c>
      <c r="D20" s="658">
        <f t="shared" si="5"/>
        <v>55</v>
      </c>
      <c r="E20" s="658">
        <f t="shared" si="5"/>
        <v>55</v>
      </c>
      <c r="F20" s="658">
        <f t="shared" si="5"/>
        <v>50</v>
      </c>
      <c r="G20" s="658">
        <f t="shared" si="5"/>
        <v>50</v>
      </c>
      <c r="H20" s="658">
        <f t="shared" si="5"/>
        <v>50</v>
      </c>
      <c r="I20" s="658">
        <f t="shared" si="5"/>
        <v>45</v>
      </c>
      <c r="J20" s="658">
        <f t="shared" si="5"/>
        <v>45</v>
      </c>
      <c r="K20" s="658">
        <f t="shared" si="5"/>
        <v>45</v>
      </c>
      <c r="L20" s="658">
        <f t="shared" si="5"/>
        <v>55</v>
      </c>
      <c r="M20" s="658">
        <f t="shared" si="5"/>
        <v>55</v>
      </c>
      <c r="N20" s="658">
        <f t="shared" si="5"/>
        <v>55</v>
      </c>
      <c r="O20" s="658">
        <f t="shared" si="5"/>
        <v>55</v>
      </c>
      <c r="P20" s="658">
        <f t="shared" si="5"/>
        <v>45</v>
      </c>
      <c r="Q20" s="658">
        <f t="shared" si="5"/>
        <v>0</v>
      </c>
      <c r="R20" s="658">
        <f t="shared" si="5"/>
        <v>0</v>
      </c>
      <c r="U20" s="666">
        <f>SUM(B20:T20)</f>
        <v>715</v>
      </c>
      <c r="V20" s="1066"/>
      <c r="W20" s="1010"/>
      <c r="X20" s="1036"/>
      <c r="Y20" s="1019"/>
      <c r="Z20" s="1026"/>
      <c r="AA20" s="1003"/>
      <c r="AB20" s="862"/>
      <c r="AD20" s="675"/>
      <c r="AJ20" s="1141"/>
      <c r="AP20" s="863"/>
    </row>
    <row r="21" spans="1:42" x14ac:dyDescent="0.35">
      <c r="A21" s="658" t="s">
        <v>423</v>
      </c>
      <c r="C21" s="658">
        <f t="shared" ref="C21:R21" si="6">C15*C17</f>
        <v>22</v>
      </c>
      <c r="D21" s="658">
        <f t="shared" si="6"/>
        <v>22</v>
      </c>
      <c r="E21" s="658">
        <f t="shared" si="6"/>
        <v>22</v>
      </c>
      <c r="F21" s="658">
        <f t="shared" si="6"/>
        <v>20</v>
      </c>
      <c r="G21" s="658">
        <f t="shared" si="6"/>
        <v>20</v>
      </c>
      <c r="H21" s="658">
        <f t="shared" si="6"/>
        <v>20</v>
      </c>
      <c r="I21" s="658">
        <f t="shared" si="6"/>
        <v>18</v>
      </c>
      <c r="J21" s="658">
        <f t="shared" si="6"/>
        <v>18</v>
      </c>
      <c r="K21" s="658">
        <f t="shared" si="6"/>
        <v>18</v>
      </c>
      <c r="L21" s="658">
        <f t="shared" si="6"/>
        <v>22</v>
      </c>
      <c r="M21" s="658">
        <f t="shared" si="6"/>
        <v>22</v>
      </c>
      <c r="N21" s="658">
        <f t="shared" si="6"/>
        <v>22</v>
      </c>
      <c r="O21" s="658">
        <f t="shared" si="6"/>
        <v>22</v>
      </c>
      <c r="P21" s="658">
        <f t="shared" si="6"/>
        <v>18</v>
      </c>
      <c r="Q21" s="658">
        <f t="shared" si="6"/>
        <v>18</v>
      </c>
      <c r="R21" s="658">
        <f t="shared" si="6"/>
        <v>16</v>
      </c>
      <c r="U21" s="666">
        <f>SUM(B21:T21)</f>
        <v>320</v>
      </c>
      <c r="V21" s="1066"/>
      <c r="W21" s="1010"/>
      <c r="X21" s="1036"/>
      <c r="Y21" s="1019"/>
      <c r="Z21" s="1098"/>
      <c r="AA21" s="1003"/>
      <c r="AB21" s="862"/>
      <c r="AD21" s="675"/>
      <c r="AJ21" s="1141"/>
      <c r="AP21" s="863"/>
    </row>
    <row r="22" spans="1:42" ht="18.600000000000001" thickBot="1" x14ac:dyDescent="0.4">
      <c r="A22" s="663" t="s">
        <v>1210</v>
      </c>
      <c r="B22" s="663"/>
      <c r="C22" s="663">
        <f t="shared" ref="C22:R22" si="7">SUM(C20:C21)</f>
        <v>77</v>
      </c>
      <c r="D22" s="663">
        <f t="shared" si="7"/>
        <v>77</v>
      </c>
      <c r="E22" s="663">
        <f t="shared" si="7"/>
        <v>77</v>
      </c>
      <c r="F22" s="663">
        <f t="shared" si="7"/>
        <v>70</v>
      </c>
      <c r="G22" s="663">
        <f t="shared" si="7"/>
        <v>70</v>
      </c>
      <c r="H22" s="663">
        <f t="shared" si="7"/>
        <v>70</v>
      </c>
      <c r="I22" s="663">
        <f t="shared" si="7"/>
        <v>63</v>
      </c>
      <c r="J22" s="663">
        <f t="shared" si="7"/>
        <v>63</v>
      </c>
      <c r="K22" s="663">
        <f t="shared" si="7"/>
        <v>63</v>
      </c>
      <c r="L22" s="663">
        <f t="shared" si="7"/>
        <v>77</v>
      </c>
      <c r="M22" s="663">
        <f t="shared" si="7"/>
        <v>77</v>
      </c>
      <c r="N22" s="663">
        <f t="shared" si="7"/>
        <v>77</v>
      </c>
      <c r="O22" s="663">
        <f t="shared" si="7"/>
        <v>77</v>
      </c>
      <c r="P22" s="663">
        <f t="shared" si="7"/>
        <v>63</v>
      </c>
      <c r="Q22" s="663">
        <f t="shared" si="7"/>
        <v>18</v>
      </c>
      <c r="R22" s="663">
        <f t="shared" si="7"/>
        <v>16</v>
      </c>
      <c r="S22" s="663"/>
      <c r="T22" s="663"/>
      <c r="U22" s="670">
        <f>SUM(U20:U21)</f>
        <v>1035</v>
      </c>
      <c r="V22" s="1068">
        <f>U22*U16</f>
        <v>27945</v>
      </c>
      <c r="W22" s="1024">
        <f>V22*'VRH Rates'!D5</f>
        <v>2375325</v>
      </c>
      <c r="X22" s="1034">
        <f>V22*'Avg Pass, Mile Per Hr'!C9</f>
        <v>357696</v>
      </c>
      <c r="Y22" s="1068">
        <f>V22*'Avg Pass, Mile Per Hr'!C4</f>
        <v>195615</v>
      </c>
      <c r="Z22" s="1027">
        <f>Y22*'Fare Assumptions'!C4</f>
        <v>0</v>
      </c>
      <c r="AA22" s="1002"/>
      <c r="AB22" s="862"/>
      <c r="AJ22" s="1141"/>
      <c r="AP22" s="863"/>
    </row>
    <row r="23" spans="1:42" x14ac:dyDescent="0.35">
      <c r="V23" s="1009"/>
      <c r="W23" s="1009"/>
      <c r="X23" s="1009"/>
      <c r="Y23" s="1009"/>
      <c r="Z23" s="1009"/>
      <c r="AA23" s="1041"/>
      <c r="AB23" s="1001" t="s">
        <v>424</v>
      </c>
      <c r="AC23" s="665">
        <f t="shared" ref="AC23:AO23" si="8">AC7/AC5</f>
        <v>12.32348367029549</v>
      </c>
      <c r="AD23" s="665">
        <f t="shared" si="8"/>
        <v>12.815384615384616</v>
      </c>
      <c r="AE23" s="665">
        <f t="shared" si="8"/>
        <v>13.17490494296578</v>
      </c>
      <c r="AF23" s="665">
        <f t="shared" si="8"/>
        <v>12.295738045738046</v>
      </c>
      <c r="AG23" s="665">
        <f t="shared" si="8"/>
        <v>12.033292732440113</v>
      </c>
      <c r="AH23" s="665">
        <f t="shared" si="8"/>
        <v>12.282659409020217</v>
      </c>
      <c r="AI23" s="665">
        <f t="shared" si="8"/>
        <v>13.555555555555555</v>
      </c>
      <c r="AJ23" s="1004">
        <f t="shared" si="8"/>
        <v>13.803588748787584</v>
      </c>
      <c r="AK23" s="665">
        <f t="shared" si="8"/>
        <v>13.501221299462628</v>
      </c>
      <c r="AL23" s="665">
        <f t="shared" si="8"/>
        <v>12.958117271639409</v>
      </c>
      <c r="AM23" s="665">
        <f t="shared" si="8"/>
        <v>12.477212806026365</v>
      </c>
      <c r="AN23" s="665">
        <f t="shared" si="8"/>
        <v>12.84294003868472</v>
      </c>
      <c r="AO23" s="665">
        <f t="shared" si="8"/>
        <v>12.820706296920484</v>
      </c>
      <c r="AP23" s="1142">
        <f>AVERAGE(AC23:AO23)</f>
        <v>12.837292725609309</v>
      </c>
    </row>
    <row r="24" spans="1:42" ht="18.600000000000001" thickBot="1" x14ac:dyDescent="0.4">
      <c r="A24" s="610" t="s">
        <v>309</v>
      </c>
      <c r="W24" s="1015"/>
      <c r="X24" s="1015"/>
      <c r="Y24" s="1015"/>
      <c r="Z24" s="1015"/>
      <c r="AA24" s="1042"/>
      <c r="AB24" s="1143" t="s">
        <v>416</v>
      </c>
      <c r="AC24" s="1144">
        <f>AVERAGE(AC23:AP23)</f>
        <v>12.837292725609307</v>
      </c>
      <c r="AD24" s="1145"/>
      <c r="AE24" s="1145"/>
      <c r="AF24" s="1145"/>
      <c r="AG24" s="1145"/>
      <c r="AH24" s="1145"/>
      <c r="AI24" s="1145"/>
      <c r="AJ24" s="1146"/>
      <c r="AK24" s="1145"/>
      <c r="AL24" s="1145"/>
      <c r="AM24" s="1145"/>
      <c r="AN24" s="1145"/>
      <c r="AO24" s="1145"/>
      <c r="AP24" s="1121"/>
    </row>
    <row r="25" spans="1:42" ht="18.600000000000001" thickBot="1" x14ac:dyDescent="0.4">
      <c r="A25" s="663" t="s">
        <v>5</v>
      </c>
      <c r="B25" s="663"/>
      <c r="C25" s="663">
        <v>11</v>
      </c>
      <c r="D25" s="663">
        <v>10</v>
      </c>
      <c r="E25" s="663">
        <v>10</v>
      </c>
      <c r="F25" s="663">
        <v>9</v>
      </c>
      <c r="G25" s="663">
        <v>9</v>
      </c>
      <c r="H25" s="663">
        <v>8</v>
      </c>
      <c r="I25" s="663">
        <v>8</v>
      </c>
      <c r="J25" s="663">
        <v>8</v>
      </c>
      <c r="K25" s="663">
        <v>8</v>
      </c>
      <c r="L25" s="663">
        <v>11</v>
      </c>
      <c r="M25" s="663">
        <v>11</v>
      </c>
      <c r="N25" s="663">
        <v>11</v>
      </c>
      <c r="O25" s="663">
        <v>10</v>
      </c>
      <c r="P25" s="663">
        <v>9</v>
      </c>
      <c r="Q25" s="663">
        <v>9</v>
      </c>
      <c r="R25" s="663">
        <v>8</v>
      </c>
      <c r="S25" s="663"/>
      <c r="T25" s="663"/>
      <c r="U25" s="1065" t="s">
        <v>400</v>
      </c>
      <c r="V25" s="1084" t="s">
        <v>417</v>
      </c>
      <c r="W25" s="1023" t="s">
        <v>246</v>
      </c>
      <c r="X25" s="1084" t="s">
        <v>412</v>
      </c>
      <c r="Y25" s="1084" t="s">
        <v>301</v>
      </c>
      <c r="Z25" s="1085" t="s">
        <v>504</v>
      </c>
      <c r="AA25" s="1051"/>
    </row>
    <row r="26" spans="1:42" x14ac:dyDescent="0.35">
      <c r="A26" s="658" t="s">
        <v>1193</v>
      </c>
      <c r="C26" s="658">
        <v>5</v>
      </c>
      <c r="D26" s="658">
        <v>5</v>
      </c>
      <c r="E26" s="658">
        <v>5</v>
      </c>
      <c r="F26" s="658">
        <v>5</v>
      </c>
      <c r="G26" s="658">
        <v>5</v>
      </c>
      <c r="H26" s="658">
        <v>5</v>
      </c>
      <c r="I26" s="658">
        <v>5</v>
      </c>
      <c r="J26" s="658">
        <v>5</v>
      </c>
      <c r="K26" s="658">
        <v>5</v>
      </c>
      <c r="L26" s="658">
        <v>5</v>
      </c>
      <c r="M26" s="658">
        <v>5</v>
      </c>
      <c r="N26" s="658">
        <v>5</v>
      </c>
      <c r="O26" s="658">
        <v>5</v>
      </c>
      <c r="P26" s="658">
        <v>5</v>
      </c>
      <c r="R26" s="784"/>
      <c r="S26" s="784"/>
      <c r="T26" s="784"/>
      <c r="U26" s="673">
        <v>17</v>
      </c>
      <c r="V26" s="1025"/>
      <c r="W26" s="1009"/>
      <c r="X26" s="1037"/>
      <c r="Y26" s="1020"/>
      <c r="Z26" s="1026"/>
      <c r="AA26" s="1003"/>
    </row>
    <row r="27" spans="1:42" x14ac:dyDescent="0.35">
      <c r="A27" s="658" t="s">
        <v>423</v>
      </c>
      <c r="C27" s="658">
        <v>2</v>
      </c>
      <c r="D27" s="658">
        <v>2</v>
      </c>
      <c r="E27" s="658">
        <v>2</v>
      </c>
      <c r="F27" s="658">
        <v>2</v>
      </c>
      <c r="G27" s="658">
        <v>2</v>
      </c>
      <c r="H27" s="658">
        <v>2</v>
      </c>
      <c r="I27" s="658">
        <v>2</v>
      </c>
      <c r="J27" s="658">
        <v>2</v>
      </c>
      <c r="K27" s="658">
        <v>2</v>
      </c>
      <c r="L27" s="658">
        <v>2</v>
      </c>
      <c r="M27" s="658">
        <v>2</v>
      </c>
      <c r="N27" s="658">
        <v>2</v>
      </c>
      <c r="O27" s="658">
        <v>2</v>
      </c>
      <c r="P27" s="658">
        <v>2</v>
      </c>
      <c r="Q27" s="658">
        <v>2</v>
      </c>
      <c r="R27" s="658">
        <v>2</v>
      </c>
      <c r="U27" s="673"/>
      <c r="V27" s="1025"/>
      <c r="W27" s="1009"/>
      <c r="X27" s="1037"/>
      <c r="Y27" s="1020"/>
      <c r="Z27" s="1026"/>
      <c r="AA27" s="1003"/>
    </row>
    <row r="28" spans="1:42" ht="18.600000000000001" thickBot="1" x14ac:dyDescent="0.4">
      <c r="A28" s="663" t="s">
        <v>300</v>
      </c>
      <c r="B28" s="663"/>
      <c r="C28" s="663">
        <f t="shared" ref="C28:R28" si="9">C27+C26</f>
        <v>7</v>
      </c>
      <c r="D28" s="663">
        <f t="shared" si="9"/>
        <v>7</v>
      </c>
      <c r="E28" s="663">
        <f t="shared" si="9"/>
        <v>7</v>
      </c>
      <c r="F28" s="663">
        <f t="shared" si="9"/>
        <v>7</v>
      </c>
      <c r="G28" s="663">
        <f t="shared" si="9"/>
        <v>7</v>
      </c>
      <c r="H28" s="663">
        <f t="shared" si="9"/>
        <v>7</v>
      </c>
      <c r="I28" s="663">
        <f t="shared" si="9"/>
        <v>7</v>
      </c>
      <c r="J28" s="663">
        <f t="shared" si="9"/>
        <v>7</v>
      </c>
      <c r="K28" s="663">
        <f t="shared" si="9"/>
        <v>7</v>
      </c>
      <c r="L28" s="663">
        <f t="shared" si="9"/>
        <v>7</v>
      </c>
      <c r="M28" s="663">
        <f t="shared" si="9"/>
        <v>7</v>
      </c>
      <c r="N28" s="663">
        <f t="shared" si="9"/>
        <v>7</v>
      </c>
      <c r="O28" s="663">
        <f t="shared" si="9"/>
        <v>7</v>
      </c>
      <c r="P28" s="663">
        <f t="shared" si="9"/>
        <v>7</v>
      </c>
      <c r="Q28" s="663">
        <f t="shared" si="9"/>
        <v>2</v>
      </c>
      <c r="R28" s="663">
        <f t="shared" si="9"/>
        <v>2</v>
      </c>
      <c r="S28" s="663"/>
      <c r="T28" s="663"/>
      <c r="U28" s="673"/>
      <c r="V28" s="1025"/>
      <c r="W28" s="1009"/>
      <c r="X28" s="1037"/>
      <c r="Y28" s="1020"/>
      <c r="Z28" s="1026"/>
      <c r="AA28" s="1003"/>
    </row>
    <row r="29" spans="1:42" x14ac:dyDescent="0.35">
      <c r="A29" s="661" t="s">
        <v>402</v>
      </c>
      <c r="U29" s="1017" t="s">
        <v>1212</v>
      </c>
      <c r="V29" s="1025"/>
      <c r="W29" s="1009"/>
      <c r="X29" s="1037"/>
      <c r="Y29" s="1020"/>
      <c r="Z29" s="1026"/>
      <c r="AA29" s="1003"/>
    </row>
    <row r="30" spans="1:42" x14ac:dyDescent="0.35">
      <c r="A30" s="658" t="s">
        <v>1193</v>
      </c>
      <c r="C30" s="658">
        <f t="shared" ref="C30:R30" si="10">C25*C26</f>
        <v>55</v>
      </c>
      <c r="D30" s="658">
        <f t="shared" si="10"/>
        <v>50</v>
      </c>
      <c r="E30" s="658">
        <f t="shared" si="10"/>
        <v>50</v>
      </c>
      <c r="F30" s="658">
        <f t="shared" si="10"/>
        <v>45</v>
      </c>
      <c r="G30" s="658">
        <f t="shared" si="10"/>
        <v>45</v>
      </c>
      <c r="H30" s="658">
        <f t="shared" si="10"/>
        <v>40</v>
      </c>
      <c r="I30" s="658">
        <f t="shared" si="10"/>
        <v>40</v>
      </c>
      <c r="J30" s="658">
        <f t="shared" si="10"/>
        <v>40</v>
      </c>
      <c r="K30" s="658">
        <f t="shared" si="10"/>
        <v>40</v>
      </c>
      <c r="L30" s="658">
        <f t="shared" si="10"/>
        <v>55</v>
      </c>
      <c r="M30" s="658">
        <f t="shared" si="10"/>
        <v>55</v>
      </c>
      <c r="N30" s="658">
        <f t="shared" si="10"/>
        <v>55</v>
      </c>
      <c r="O30" s="658">
        <f t="shared" si="10"/>
        <v>50</v>
      </c>
      <c r="P30" s="658">
        <f t="shared" si="10"/>
        <v>45</v>
      </c>
      <c r="Q30" s="658">
        <f t="shared" si="10"/>
        <v>0</v>
      </c>
      <c r="R30" s="658">
        <f t="shared" si="10"/>
        <v>0</v>
      </c>
      <c r="U30" s="673">
        <f>SUM(B30:T30)</f>
        <v>665</v>
      </c>
      <c r="V30" s="1025"/>
      <c r="W30" s="1009"/>
      <c r="X30" s="1037"/>
      <c r="Y30" s="1020"/>
      <c r="Z30" s="1026"/>
      <c r="AA30" s="1003"/>
    </row>
    <row r="31" spans="1:42" x14ac:dyDescent="0.35">
      <c r="A31" s="658" t="s">
        <v>423</v>
      </c>
      <c r="C31" s="658">
        <f>C25*C27</f>
        <v>22</v>
      </c>
      <c r="D31" s="658">
        <f t="shared" ref="D31:R31" si="11">D25*D27</f>
        <v>20</v>
      </c>
      <c r="E31" s="658">
        <f t="shared" si="11"/>
        <v>20</v>
      </c>
      <c r="F31" s="658">
        <f t="shared" si="11"/>
        <v>18</v>
      </c>
      <c r="G31" s="658">
        <f t="shared" si="11"/>
        <v>18</v>
      </c>
      <c r="H31" s="658">
        <f t="shared" si="11"/>
        <v>16</v>
      </c>
      <c r="I31" s="658">
        <f t="shared" si="11"/>
        <v>16</v>
      </c>
      <c r="J31" s="658">
        <f t="shared" si="11"/>
        <v>16</v>
      </c>
      <c r="K31" s="658">
        <f t="shared" si="11"/>
        <v>16</v>
      </c>
      <c r="L31" s="658">
        <f t="shared" si="11"/>
        <v>22</v>
      </c>
      <c r="M31" s="658">
        <f t="shared" si="11"/>
        <v>22</v>
      </c>
      <c r="N31" s="658">
        <f t="shared" si="11"/>
        <v>22</v>
      </c>
      <c r="O31" s="658">
        <f t="shared" si="11"/>
        <v>20</v>
      </c>
      <c r="P31" s="658">
        <f t="shared" si="11"/>
        <v>18</v>
      </c>
      <c r="Q31" s="658">
        <f t="shared" si="11"/>
        <v>18</v>
      </c>
      <c r="R31" s="658">
        <f t="shared" si="11"/>
        <v>16</v>
      </c>
      <c r="U31" s="673">
        <f>SUM(B31:T31)</f>
        <v>300</v>
      </c>
      <c r="V31" s="1025"/>
      <c r="W31" s="1009"/>
      <c r="X31" s="1037"/>
      <c r="Y31" s="1020"/>
      <c r="Z31" s="1098"/>
      <c r="AA31" s="1003"/>
    </row>
    <row r="32" spans="1:42" ht="18.600000000000001" thickBot="1" x14ac:dyDescent="0.4">
      <c r="A32" s="663" t="s">
        <v>1210</v>
      </c>
      <c r="B32" s="663"/>
      <c r="C32" s="663">
        <f t="shared" ref="C32:R32" si="12">SUM(C30:C31)</f>
        <v>77</v>
      </c>
      <c r="D32" s="663">
        <f t="shared" si="12"/>
        <v>70</v>
      </c>
      <c r="E32" s="663">
        <f t="shared" si="12"/>
        <v>70</v>
      </c>
      <c r="F32" s="663">
        <f t="shared" si="12"/>
        <v>63</v>
      </c>
      <c r="G32" s="663">
        <f t="shared" si="12"/>
        <v>63</v>
      </c>
      <c r="H32" s="663">
        <f t="shared" si="12"/>
        <v>56</v>
      </c>
      <c r="I32" s="663">
        <f t="shared" si="12"/>
        <v>56</v>
      </c>
      <c r="J32" s="663">
        <f t="shared" si="12"/>
        <v>56</v>
      </c>
      <c r="K32" s="663">
        <f t="shared" si="12"/>
        <v>56</v>
      </c>
      <c r="L32" s="663">
        <f t="shared" si="12"/>
        <v>77</v>
      </c>
      <c r="M32" s="663">
        <f t="shared" si="12"/>
        <v>77</v>
      </c>
      <c r="N32" s="663">
        <f t="shared" si="12"/>
        <v>77</v>
      </c>
      <c r="O32" s="663">
        <f t="shared" si="12"/>
        <v>70</v>
      </c>
      <c r="P32" s="663">
        <f t="shared" si="12"/>
        <v>63</v>
      </c>
      <c r="Q32" s="663">
        <f t="shared" si="12"/>
        <v>18</v>
      </c>
      <c r="R32" s="663">
        <f t="shared" si="12"/>
        <v>16</v>
      </c>
      <c r="S32" s="663"/>
      <c r="T32" s="663"/>
      <c r="U32" s="670">
        <f>SUM(U30:U31)</f>
        <v>965</v>
      </c>
      <c r="V32" s="1068">
        <f>U32*U26</f>
        <v>16405</v>
      </c>
      <c r="W32" s="1024">
        <f>V32*'VRH Rates'!D5</f>
        <v>1394425</v>
      </c>
      <c r="X32" s="1038">
        <f>V32*'Avg Pass, Mile Per Hr'!C9</f>
        <v>209984</v>
      </c>
      <c r="Y32" s="1021">
        <f>V32*'Avg Pass, Mile Per Hr'!C4</f>
        <v>114835</v>
      </c>
      <c r="Z32" s="1030">
        <f>Y32*'Fare Assumptions'!C4</f>
        <v>0</v>
      </c>
      <c r="AA32" s="1002"/>
      <c r="AC32" s="660"/>
      <c r="AD32" s="660"/>
      <c r="AE32" s="660"/>
      <c r="AF32" s="660"/>
      <c r="AG32" s="660"/>
      <c r="AH32" s="660"/>
      <c r="AI32" s="660"/>
      <c r="AJ32" s="1005"/>
      <c r="AK32" s="660"/>
      <c r="AL32" s="660"/>
      <c r="AM32" s="660"/>
      <c r="AN32" s="660"/>
    </row>
    <row r="33" spans="1:40" ht="18.600000000000001" thickBot="1" x14ac:dyDescent="0.4">
      <c r="A33" s="661"/>
      <c r="B33" s="661"/>
      <c r="C33" s="661"/>
      <c r="D33" s="661"/>
      <c r="E33" s="661"/>
      <c r="F33" s="661"/>
      <c r="G33" s="661"/>
      <c r="H33" s="661"/>
      <c r="I33" s="661"/>
      <c r="J33" s="661"/>
      <c r="K33" s="661"/>
      <c r="L33" s="661"/>
      <c r="M33" s="661"/>
      <c r="N33" s="661"/>
      <c r="O33" s="661"/>
      <c r="P33" s="661"/>
      <c r="Q33" s="661"/>
      <c r="R33" s="661"/>
      <c r="S33" s="661"/>
      <c r="T33" s="661"/>
      <c r="U33" s="1067" t="s">
        <v>1211</v>
      </c>
      <c r="V33" s="1031">
        <f>V32+V22+V12</f>
        <v>51902</v>
      </c>
      <c r="W33" s="1064">
        <f>W32+W22+W12</f>
        <v>4411670</v>
      </c>
      <c r="X33" s="1039">
        <f>X32+X22+X12</f>
        <v>664627.2346638015</v>
      </c>
      <c r="Y33" s="1039">
        <f>Y32+Y22+Y12</f>
        <v>363314</v>
      </c>
      <c r="Z33" s="1099">
        <f>Z32+Z22+Z12</f>
        <v>0</v>
      </c>
      <c r="AA33" s="1052"/>
      <c r="AC33" s="660"/>
      <c r="AD33" s="660"/>
      <c r="AE33" s="660"/>
      <c r="AF33" s="660"/>
      <c r="AG33" s="660"/>
      <c r="AH33" s="660"/>
      <c r="AI33" s="660"/>
      <c r="AJ33" s="1005"/>
      <c r="AK33" s="660"/>
      <c r="AL33" s="660"/>
      <c r="AM33" s="660"/>
      <c r="AN33" s="660"/>
    </row>
    <row r="34" spans="1:40" ht="21.6" thickBot="1" x14ac:dyDescent="0.45">
      <c r="A34" s="615" t="s">
        <v>428</v>
      </c>
      <c r="W34" s="1015"/>
      <c r="X34" s="1015"/>
      <c r="Y34" s="1015"/>
      <c r="Z34" s="1015"/>
      <c r="AA34" s="1042"/>
    </row>
    <row r="35" spans="1:40" ht="18.600000000000001" thickBot="1" x14ac:dyDescent="0.4">
      <c r="A35" s="614" t="s">
        <v>405</v>
      </c>
      <c r="B35" s="669" t="s">
        <v>290</v>
      </c>
      <c r="C35" s="661" t="s">
        <v>291</v>
      </c>
      <c r="D35" s="658" t="s">
        <v>292</v>
      </c>
      <c r="E35" s="658" t="s">
        <v>293</v>
      </c>
      <c r="F35" s="658" t="s">
        <v>294</v>
      </c>
      <c r="G35" s="658" t="s">
        <v>295</v>
      </c>
      <c r="H35" s="658" t="s">
        <v>296</v>
      </c>
      <c r="I35" s="658" t="s">
        <v>310</v>
      </c>
      <c r="J35" s="658" t="s">
        <v>311</v>
      </c>
      <c r="K35" s="658" t="s">
        <v>312</v>
      </c>
      <c r="L35" s="658" t="s">
        <v>313</v>
      </c>
      <c r="M35" s="658" t="s">
        <v>314</v>
      </c>
      <c r="N35" s="658" t="s">
        <v>315</v>
      </c>
      <c r="O35" s="658" t="s">
        <v>316</v>
      </c>
      <c r="P35" s="658" t="s">
        <v>317</v>
      </c>
      <c r="Q35" s="658" t="s">
        <v>318</v>
      </c>
      <c r="R35" s="658" t="s">
        <v>319</v>
      </c>
      <c r="S35" s="658" t="s">
        <v>320</v>
      </c>
      <c r="U35" s="1169" t="s">
        <v>405</v>
      </c>
      <c r="V35" s="1170"/>
      <c r="W35" s="1171"/>
      <c r="X35" s="1015"/>
      <c r="Y35" s="1015"/>
      <c r="Z35" s="1015"/>
      <c r="AA35" s="1042"/>
    </row>
    <row r="36" spans="1:40" x14ac:dyDescent="0.35">
      <c r="C36" s="658">
        <v>1</v>
      </c>
      <c r="D36" s="658">
        <v>2</v>
      </c>
      <c r="E36" s="658">
        <v>3</v>
      </c>
      <c r="F36" s="658">
        <v>4</v>
      </c>
      <c r="G36" s="658">
        <v>5</v>
      </c>
      <c r="H36" s="658">
        <v>6</v>
      </c>
      <c r="I36" s="658">
        <v>7</v>
      </c>
      <c r="J36" s="658">
        <v>8</v>
      </c>
      <c r="K36" s="658">
        <v>9</v>
      </c>
      <c r="L36" s="658">
        <v>10</v>
      </c>
      <c r="M36" s="658">
        <v>11</v>
      </c>
      <c r="N36" s="658">
        <v>12</v>
      </c>
      <c r="O36" s="658">
        <v>13</v>
      </c>
      <c r="P36" s="658">
        <v>14</v>
      </c>
      <c r="Q36" s="658">
        <v>15</v>
      </c>
      <c r="R36" s="658">
        <v>17</v>
      </c>
      <c r="S36" s="658">
        <v>18</v>
      </c>
      <c r="U36" s="1095" t="s">
        <v>400</v>
      </c>
      <c r="V36" s="1096" t="s">
        <v>417</v>
      </c>
      <c r="W36" s="1032" t="s">
        <v>246</v>
      </c>
      <c r="X36" s="1084" t="s">
        <v>412</v>
      </c>
      <c r="Y36" s="1084" t="s">
        <v>301</v>
      </c>
      <c r="Z36" s="1085" t="s">
        <v>504</v>
      </c>
      <c r="AA36" s="1051"/>
      <c r="AB36" s="1051"/>
    </row>
    <row r="37" spans="1:40" x14ac:dyDescent="0.35">
      <c r="A37" s="661" t="s">
        <v>299</v>
      </c>
      <c r="B37" s="662">
        <v>0.25</v>
      </c>
      <c r="C37" s="662">
        <v>0.29166666666666669</v>
      </c>
      <c r="D37" s="662">
        <v>0.33333333333333331</v>
      </c>
      <c r="E37" s="662">
        <v>0.375</v>
      </c>
      <c r="F37" s="662">
        <v>0.41666666666666669</v>
      </c>
      <c r="G37" s="662">
        <v>0.45833333333333331</v>
      </c>
      <c r="H37" s="662">
        <v>0.5</v>
      </c>
      <c r="I37" s="662">
        <v>0.54166666666666663</v>
      </c>
      <c r="J37" s="662">
        <v>0.58333333333333337</v>
      </c>
      <c r="K37" s="662">
        <v>0.625</v>
      </c>
      <c r="L37" s="662">
        <v>0.66666666666666663</v>
      </c>
      <c r="M37" s="662">
        <v>0.70833333333333337</v>
      </c>
      <c r="N37" s="662">
        <v>0.75</v>
      </c>
      <c r="O37" s="662">
        <v>0.79166666666666663</v>
      </c>
      <c r="P37" s="662">
        <v>0.83333333333333337</v>
      </c>
      <c r="Q37" s="662">
        <v>0.875</v>
      </c>
      <c r="R37" s="662">
        <v>0.91666666666666663</v>
      </c>
      <c r="S37" s="662">
        <v>0.95833333333333337</v>
      </c>
      <c r="T37" s="662"/>
      <c r="U37" s="688">
        <v>52</v>
      </c>
      <c r="V37" s="1066"/>
      <c r="W37" s="1019"/>
      <c r="X37" s="1036"/>
      <c r="Y37" s="1019"/>
      <c r="Z37" s="1028"/>
      <c r="AA37" s="1016"/>
      <c r="AB37" s="1016"/>
      <c r="AC37" s="669"/>
    </row>
    <row r="38" spans="1:40" ht="18.600000000000001" thickBot="1" x14ac:dyDescent="0.4">
      <c r="A38" s="663" t="s">
        <v>5</v>
      </c>
      <c r="B38" s="663"/>
      <c r="C38" s="663">
        <v>2</v>
      </c>
      <c r="D38" s="663">
        <v>2</v>
      </c>
      <c r="E38" s="663">
        <v>2</v>
      </c>
      <c r="F38" s="663">
        <v>2</v>
      </c>
      <c r="G38" s="663">
        <v>2</v>
      </c>
      <c r="H38" s="663">
        <v>2</v>
      </c>
      <c r="I38" s="663">
        <v>2</v>
      </c>
      <c r="J38" s="663">
        <v>2</v>
      </c>
      <c r="K38" s="663">
        <v>2</v>
      </c>
      <c r="L38" s="663">
        <v>2</v>
      </c>
      <c r="M38" s="663">
        <v>2</v>
      </c>
      <c r="N38" s="663">
        <v>2</v>
      </c>
      <c r="O38" s="663">
        <v>2</v>
      </c>
      <c r="P38" s="663">
        <v>2</v>
      </c>
      <c r="Q38" s="663"/>
      <c r="R38" s="663"/>
      <c r="S38" s="663"/>
      <c r="T38" s="663"/>
      <c r="U38" s="688"/>
      <c r="V38" s="1066"/>
      <c r="W38" s="1019"/>
      <c r="X38" s="1036"/>
      <c r="Y38" s="1019"/>
      <c r="Z38" s="1028"/>
      <c r="AA38" s="1016"/>
      <c r="AB38" s="1016"/>
      <c r="AC38" s="669"/>
    </row>
    <row r="39" spans="1:40" x14ac:dyDescent="0.35">
      <c r="A39" s="658" t="s">
        <v>403</v>
      </c>
      <c r="C39" s="658">
        <v>5</v>
      </c>
      <c r="D39" s="658">
        <v>5</v>
      </c>
      <c r="E39" s="658">
        <v>5</v>
      </c>
      <c r="F39" s="658">
        <v>5</v>
      </c>
      <c r="G39" s="658">
        <v>5</v>
      </c>
      <c r="H39" s="658">
        <v>5</v>
      </c>
      <c r="I39" s="658">
        <v>5</v>
      </c>
      <c r="J39" s="658">
        <v>5</v>
      </c>
      <c r="K39" s="658">
        <v>5</v>
      </c>
      <c r="L39" s="658">
        <v>5</v>
      </c>
      <c r="M39" s="658">
        <v>5</v>
      </c>
      <c r="N39" s="658">
        <v>5</v>
      </c>
      <c r="O39" s="658">
        <v>5</v>
      </c>
      <c r="P39" s="658">
        <v>5</v>
      </c>
      <c r="U39" s="688"/>
      <c r="V39" s="1069"/>
      <c r="W39" s="1020"/>
      <c r="X39" s="1037"/>
      <c r="Y39" s="1020"/>
      <c r="Z39" s="1029"/>
      <c r="AA39" s="1041"/>
      <c r="AB39" s="1041"/>
      <c r="AC39" s="775"/>
    </row>
    <row r="40" spans="1:40" x14ac:dyDescent="0.35">
      <c r="U40" s="688"/>
      <c r="V40" s="1070"/>
      <c r="W40" s="1020"/>
      <c r="X40" s="1037"/>
      <c r="Y40" s="1020"/>
      <c r="Z40" s="1028"/>
      <c r="AA40" s="1016"/>
      <c r="AB40" s="1016"/>
    </row>
    <row r="41" spans="1:40" x14ac:dyDescent="0.35">
      <c r="A41" s="685" t="s">
        <v>1210</v>
      </c>
      <c r="B41" s="685"/>
      <c r="C41" s="685">
        <f t="shared" ref="C41:P41" si="13">C38*C39</f>
        <v>10</v>
      </c>
      <c r="D41" s="685">
        <f t="shared" si="13"/>
        <v>10</v>
      </c>
      <c r="E41" s="685">
        <f t="shared" si="13"/>
        <v>10</v>
      </c>
      <c r="F41" s="685">
        <f t="shared" si="13"/>
        <v>10</v>
      </c>
      <c r="G41" s="685">
        <f t="shared" si="13"/>
        <v>10</v>
      </c>
      <c r="H41" s="685">
        <f t="shared" si="13"/>
        <v>10</v>
      </c>
      <c r="I41" s="685">
        <f t="shared" si="13"/>
        <v>10</v>
      </c>
      <c r="J41" s="685">
        <f t="shared" si="13"/>
        <v>10</v>
      </c>
      <c r="K41" s="685">
        <f t="shared" si="13"/>
        <v>10</v>
      </c>
      <c r="L41" s="685">
        <f t="shared" si="13"/>
        <v>10</v>
      </c>
      <c r="M41" s="685">
        <f t="shared" si="13"/>
        <v>10</v>
      </c>
      <c r="N41" s="685">
        <f t="shared" si="13"/>
        <v>10</v>
      </c>
      <c r="O41" s="685">
        <f t="shared" si="13"/>
        <v>10</v>
      </c>
      <c r="P41" s="685">
        <f t="shared" si="13"/>
        <v>10</v>
      </c>
      <c r="Q41" s="685"/>
      <c r="R41" s="685"/>
      <c r="S41" s="685"/>
      <c r="T41" s="685"/>
      <c r="U41" s="1086" t="s">
        <v>1212</v>
      </c>
      <c r="V41" s="1070"/>
      <c r="W41" s="1020"/>
      <c r="X41" s="1037"/>
      <c r="Y41" s="1020"/>
      <c r="Z41" s="1028"/>
      <c r="AA41" s="1016"/>
      <c r="AB41" s="1016"/>
    </row>
    <row r="42" spans="1:40" ht="18.600000000000001" thickBot="1" x14ac:dyDescent="0.4">
      <c r="A42" s="1003"/>
      <c r="B42" s="784"/>
      <c r="C42" s="784"/>
      <c r="D42" s="784"/>
      <c r="E42" s="784"/>
      <c r="F42" s="784"/>
      <c r="G42" s="784"/>
      <c r="H42" s="784"/>
      <c r="I42" s="784"/>
      <c r="J42" s="784"/>
      <c r="K42" s="784"/>
      <c r="L42" s="784"/>
      <c r="M42" s="784"/>
      <c r="N42" s="784"/>
      <c r="O42" s="784"/>
      <c r="P42" s="784"/>
      <c r="Q42" s="784"/>
      <c r="R42" s="784"/>
      <c r="S42" s="784"/>
      <c r="T42" s="784"/>
      <c r="U42" s="1088">
        <f>SUM(C41:Q41)</f>
        <v>140</v>
      </c>
      <c r="V42" s="1097">
        <f>U42*U37</f>
        <v>7280</v>
      </c>
      <c r="W42" s="1033">
        <f>V42*'VRH Rates'!D5</f>
        <v>618800</v>
      </c>
      <c r="X42" s="1034">
        <f>V42*'Avg Pass, Mile Per Hr'!C9</f>
        <v>93184</v>
      </c>
      <c r="Y42" s="1068">
        <f>V42*'Avg Pass, Mile Per Hr'!C4</f>
        <v>50960</v>
      </c>
      <c r="Z42" s="1027">
        <f>Y42*'Fare Assumptions'!C4</f>
        <v>0</v>
      </c>
      <c r="AA42" s="1002"/>
      <c r="AB42" s="1002"/>
    </row>
    <row r="43" spans="1:40" x14ac:dyDescent="0.35">
      <c r="A43" s="784"/>
      <c r="B43" s="784"/>
      <c r="C43" s="784"/>
      <c r="D43" s="784"/>
      <c r="E43" s="784"/>
      <c r="F43" s="784"/>
      <c r="G43" s="784"/>
      <c r="H43" s="784"/>
      <c r="I43" s="784"/>
      <c r="J43" s="784"/>
      <c r="K43" s="784"/>
      <c r="L43" s="784"/>
      <c r="M43" s="784"/>
      <c r="N43" s="784"/>
      <c r="O43" s="784"/>
      <c r="P43" s="784"/>
      <c r="Q43" s="784"/>
      <c r="R43" s="784"/>
      <c r="S43" s="784"/>
      <c r="T43" s="784"/>
      <c r="U43" s="1012"/>
      <c r="V43" s="1014"/>
      <c r="W43" s="1009"/>
      <c r="X43" s="1009"/>
      <c r="Y43" s="1009"/>
      <c r="Z43" s="1009"/>
      <c r="AA43" s="1041"/>
      <c r="AB43" s="784"/>
    </row>
    <row r="44" spans="1:40" x14ac:dyDescent="0.35">
      <c r="A44" s="784"/>
      <c r="B44" s="784"/>
      <c r="C44" s="784"/>
      <c r="D44" s="784"/>
      <c r="E44" s="784"/>
      <c r="F44" s="784"/>
      <c r="G44" s="784"/>
      <c r="H44" s="784"/>
      <c r="I44" s="784"/>
      <c r="J44" s="784"/>
      <c r="K44" s="784"/>
      <c r="L44" s="784"/>
      <c r="M44" s="784"/>
      <c r="N44" s="784"/>
      <c r="O44" s="784"/>
      <c r="P44" s="784"/>
      <c r="Q44" s="784"/>
      <c r="R44" s="784"/>
      <c r="S44" s="784"/>
      <c r="T44" s="784"/>
      <c r="W44" s="1015"/>
      <c r="X44" s="1015"/>
      <c r="Y44" s="1015"/>
      <c r="Z44" s="1015"/>
      <c r="AA44" s="1042"/>
      <c r="AB44" s="784"/>
    </row>
    <row r="45" spans="1:40" x14ac:dyDescent="0.35">
      <c r="A45" s="1003"/>
      <c r="B45" s="1003"/>
      <c r="C45" s="1003"/>
      <c r="D45" s="1003"/>
      <c r="E45" s="1003"/>
      <c r="F45" s="1003"/>
      <c r="G45" s="1003"/>
      <c r="H45" s="1003"/>
      <c r="I45" s="1003"/>
      <c r="J45" s="1003"/>
      <c r="K45" s="1003"/>
      <c r="L45" s="1003"/>
      <c r="M45" s="1003"/>
      <c r="N45" s="1003"/>
      <c r="O45" s="1003"/>
      <c r="P45" s="1003"/>
      <c r="Q45" s="1003"/>
      <c r="R45" s="1003"/>
      <c r="S45" s="1003"/>
      <c r="T45" s="1003"/>
      <c r="W45" s="1015"/>
      <c r="X45" s="1015"/>
      <c r="Y45" s="1015"/>
      <c r="Z45" s="1015"/>
      <c r="AA45" s="1042"/>
      <c r="AB45" s="784"/>
    </row>
    <row r="46" spans="1:40" x14ac:dyDescent="0.35">
      <c r="W46" s="1015"/>
      <c r="X46" s="1015"/>
      <c r="Y46" s="1015"/>
      <c r="Z46" s="1015"/>
      <c r="AA46" s="1042"/>
      <c r="AB46" s="784"/>
    </row>
    <row r="47" spans="1:40" ht="18.600000000000001" thickBot="1" x14ac:dyDescent="0.4">
      <c r="W47" s="1015"/>
      <c r="X47" s="1015"/>
      <c r="Y47" s="1015"/>
      <c r="Z47" s="1015"/>
      <c r="AA47" s="1042"/>
      <c r="AB47" s="784"/>
    </row>
    <row r="48" spans="1:40" ht="18.600000000000001" thickBot="1" x14ac:dyDescent="0.4">
      <c r="A48" s="614" t="s">
        <v>406</v>
      </c>
      <c r="B48" s="669" t="s">
        <v>290</v>
      </c>
      <c r="C48" s="661" t="s">
        <v>291</v>
      </c>
      <c r="D48" s="658" t="s">
        <v>292</v>
      </c>
      <c r="E48" s="658" t="s">
        <v>293</v>
      </c>
      <c r="F48" s="658" t="s">
        <v>294</v>
      </c>
      <c r="G48" s="658" t="s">
        <v>295</v>
      </c>
      <c r="H48" s="658" t="s">
        <v>296</v>
      </c>
      <c r="I48" s="658" t="s">
        <v>310</v>
      </c>
      <c r="J48" s="658" t="s">
        <v>311</v>
      </c>
      <c r="K48" s="658" t="s">
        <v>312</v>
      </c>
      <c r="L48" s="658" t="s">
        <v>313</v>
      </c>
      <c r="M48" s="658" t="s">
        <v>314</v>
      </c>
      <c r="N48" s="658" t="s">
        <v>315</v>
      </c>
      <c r="O48" s="658" t="s">
        <v>316</v>
      </c>
      <c r="P48" s="658" t="s">
        <v>317</v>
      </c>
      <c r="Q48" s="658" t="s">
        <v>318</v>
      </c>
      <c r="R48" s="658" t="s">
        <v>319</v>
      </c>
      <c r="S48" s="658" t="s">
        <v>320</v>
      </c>
      <c r="U48" s="1169" t="s">
        <v>406</v>
      </c>
      <c r="V48" s="1170"/>
      <c r="W48" s="1171"/>
      <c r="X48" s="1015"/>
      <c r="Y48" s="1015"/>
      <c r="Z48" s="1015"/>
      <c r="AA48" s="1042"/>
      <c r="AB48" s="784"/>
    </row>
    <row r="49" spans="1:37" x14ac:dyDescent="0.35">
      <c r="A49" s="661" t="s">
        <v>431</v>
      </c>
      <c r="B49" s="669"/>
      <c r="C49" s="661"/>
      <c r="U49" s="677" t="s">
        <v>400</v>
      </c>
      <c r="V49" s="1094" t="s">
        <v>417</v>
      </c>
      <c r="W49" s="1032" t="s">
        <v>246</v>
      </c>
      <c r="X49" s="1084" t="s">
        <v>412</v>
      </c>
      <c r="Y49" s="1084" t="s">
        <v>301</v>
      </c>
      <c r="Z49" s="1085" t="s">
        <v>504</v>
      </c>
      <c r="AA49" s="1051"/>
      <c r="AB49" s="1051"/>
    </row>
    <row r="50" spans="1:37" x14ac:dyDescent="0.35">
      <c r="C50" s="658">
        <v>1</v>
      </c>
      <c r="D50" s="658">
        <v>2</v>
      </c>
      <c r="E50" s="658">
        <v>3</v>
      </c>
      <c r="F50" s="658">
        <v>4</v>
      </c>
      <c r="G50" s="658">
        <v>5</v>
      </c>
      <c r="H50" s="658">
        <v>6</v>
      </c>
      <c r="I50" s="658">
        <v>7</v>
      </c>
      <c r="J50" s="658">
        <v>8</v>
      </c>
      <c r="K50" s="658">
        <v>9</v>
      </c>
      <c r="L50" s="658">
        <v>10</v>
      </c>
      <c r="M50" s="658">
        <v>11</v>
      </c>
      <c r="N50" s="658">
        <v>12</v>
      </c>
      <c r="O50" s="658">
        <v>13</v>
      </c>
      <c r="P50" s="658">
        <v>14</v>
      </c>
      <c r="Q50" s="658">
        <v>15</v>
      </c>
      <c r="R50" s="658">
        <v>17</v>
      </c>
      <c r="S50" s="658">
        <v>18</v>
      </c>
      <c r="U50" s="688">
        <v>12</v>
      </c>
      <c r="W50" s="1019"/>
      <c r="X50" s="1019"/>
      <c r="Y50" s="1019"/>
      <c r="Z50" s="1028"/>
      <c r="AA50" s="1016"/>
      <c r="AB50" s="1016"/>
    </row>
    <row r="51" spans="1:37" ht="18.600000000000001" thickBot="1" x14ac:dyDescent="0.4">
      <c r="A51" s="668" t="s">
        <v>5</v>
      </c>
      <c r="B51" s="663"/>
      <c r="C51" s="663">
        <v>4</v>
      </c>
      <c r="D51" s="663">
        <v>4</v>
      </c>
      <c r="E51" s="663">
        <v>4</v>
      </c>
      <c r="F51" s="663">
        <v>4</v>
      </c>
      <c r="G51" s="663">
        <v>4</v>
      </c>
      <c r="H51" s="663">
        <v>4</v>
      </c>
      <c r="I51" s="663">
        <v>4</v>
      </c>
      <c r="J51" s="663">
        <v>4</v>
      </c>
      <c r="K51" s="663">
        <v>4</v>
      </c>
      <c r="L51" s="663">
        <v>4</v>
      </c>
      <c r="M51" s="663">
        <v>4</v>
      </c>
      <c r="N51" s="663">
        <v>4</v>
      </c>
      <c r="O51" s="663">
        <v>4</v>
      </c>
      <c r="P51" s="663">
        <v>4</v>
      </c>
      <c r="Q51" s="663">
        <v>4</v>
      </c>
      <c r="R51" s="663">
        <v>4</v>
      </c>
      <c r="S51" s="663"/>
      <c r="T51" s="663"/>
      <c r="U51" s="688"/>
      <c r="W51" s="1019"/>
      <c r="X51" s="1019"/>
      <c r="Y51" s="1019"/>
      <c r="Z51" s="1028"/>
      <c r="AA51" s="1016"/>
      <c r="AB51" s="1016"/>
    </row>
    <row r="52" spans="1:37" x14ac:dyDescent="0.35">
      <c r="A52" s="658" t="s">
        <v>297</v>
      </c>
      <c r="C52" s="658">
        <v>5</v>
      </c>
      <c r="D52" s="658">
        <v>5</v>
      </c>
      <c r="E52" s="658">
        <v>5</v>
      </c>
      <c r="F52" s="658">
        <v>5</v>
      </c>
      <c r="G52" s="658">
        <v>5</v>
      </c>
      <c r="H52" s="658">
        <v>5</v>
      </c>
      <c r="I52" s="658">
        <v>5</v>
      </c>
      <c r="J52" s="658">
        <v>5</v>
      </c>
      <c r="K52" s="658">
        <v>5</v>
      </c>
      <c r="L52" s="658">
        <v>5</v>
      </c>
      <c r="M52" s="658">
        <v>5</v>
      </c>
      <c r="N52" s="658">
        <v>5</v>
      </c>
      <c r="O52" s="658">
        <v>5</v>
      </c>
      <c r="P52" s="658">
        <v>5</v>
      </c>
      <c r="U52" s="688"/>
      <c r="V52" s="661"/>
      <c r="W52" s="1020"/>
      <c r="X52" s="1020"/>
      <c r="Y52" s="1020"/>
      <c r="Z52" s="1029"/>
      <c r="AA52" s="1041"/>
      <c r="AB52" s="1041"/>
    </row>
    <row r="53" spans="1:37" x14ac:dyDescent="0.35">
      <c r="A53" s="658" t="s">
        <v>298</v>
      </c>
      <c r="C53" s="658">
        <v>2</v>
      </c>
      <c r="D53" s="658">
        <v>2</v>
      </c>
      <c r="E53" s="658">
        <v>2</v>
      </c>
      <c r="F53" s="658">
        <v>2</v>
      </c>
      <c r="G53" s="658">
        <v>2</v>
      </c>
      <c r="H53" s="658">
        <v>2</v>
      </c>
      <c r="I53" s="658">
        <v>2</v>
      </c>
      <c r="J53" s="658">
        <v>2</v>
      </c>
      <c r="K53" s="658">
        <v>2</v>
      </c>
      <c r="L53" s="658">
        <v>2</v>
      </c>
      <c r="M53" s="658">
        <v>2</v>
      </c>
      <c r="N53" s="658">
        <v>2</v>
      </c>
      <c r="O53" s="658">
        <v>2</v>
      </c>
      <c r="P53" s="658">
        <v>2</v>
      </c>
      <c r="Q53" s="658">
        <v>2</v>
      </c>
      <c r="R53" s="658">
        <v>2</v>
      </c>
      <c r="U53" s="1086" t="s">
        <v>1212</v>
      </c>
      <c r="W53" s="1019"/>
      <c r="X53" s="1019"/>
      <c r="Y53" s="1019"/>
      <c r="Z53" s="1028"/>
      <c r="AA53" s="1016"/>
      <c r="AB53" s="1016"/>
    </row>
    <row r="54" spans="1:37" ht="18.600000000000001" thickBot="1" x14ac:dyDescent="0.4">
      <c r="A54" s="663" t="s">
        <v>300</v>
      </c>
      <c r="B54" s="663"/>
      <c r="C54" s="663">
        <f>C53+C52</f>
        <v>7</v>
      </c>
      <c r="D54" s="663">
        <f t="shared" ref="D54:P54" si="14">D53+D52</f>
        <v>7</v>
      </c>
      <c r="E54" s="663">
        <f t="shared" si="14"/>
        <v>7</v>
      </c>
      <c r="F54" s="663">
        <f t="shared" si="14"/>
        <v>7</v>
      </c>
      <c r="G54" s="663">
        <f t="shared" si="14"/>
        <v>7</v>
      </c>
      <c r="H54" s="663">
        <f t="shared" si="14"/>
        <v>7</v>
      </c>
      <c r="I54" s="663">
        <f t="shared" si="14"/>
        <v>7</v>
      </c>
      <c r="J54" s="663">
        <f t="shared" si="14"/>
        <v>7</v>
      </c>
      <c r="K54" s="663">
        <f t="shared" si="14"/>
        <v>7</v>
      </c>
      <c r="L54" s="663">
        <f t="shared" si="14"/>
        <v>7</v>
      </c>
      <c r="M54" s="663">
        <f t="shared" si="14"/>
        <v>7</v>
      </c>
      <c r="N54" s="663">
        <f t="shared" si="14"/>
        <v>7</v>
      </c>
      <c r="O54" s="663">
        <f t="shared" si="14"/>
        <v>7</v>
      </c>
      <c r="P54" s="663">
        <f t="shared" si="14"/>
        <v>7</v>
      </c>
      <c r="Q54" s="663"/>
      <c r="R54" s="663"/>
      <c r="S54" s="663"/>
      <c r="T54" s="663"/>
      <c r="U54" s="688">
        <f>SUM(B56:T56)</f>
        <v>280</v>
      </c>
      <c r="W54" s="1019"/>
      <c r="X54" s="1019"/>
      <c r="Y54" s="1019"/>
      <c r="Z54" s="1028"/>
      <c r="AA54" s="1016"/>
      <c r="AB54" s="1016"/>
      <c r="AC54" s="669"/>
    </row>
    <row r="55" spans="1:37" x14ac:dyDescent="0.35">
      <c r="A55" s="661" t="s">
        <v>402</v>
      </c>
      <c r="U55" s="688">
        <f>SUM(B57:T57)</f>
        <v>128</v>
      </c>
      <c r="W55" s="1019"/>
      <c r="X55" s="1019"/>
      <c r="Y55" s="1019"/>
      <c r="Z55" s="1028"/>
      <c r="AA55" s="1016"/>
      <c r="AB55" s="1016"/>
      <c r="AC55" s="669"/>
    </row>
    <row r="56" spans="1:37" ht="18.600000000000001" thickBot="1" x14ac:dyDescent="0.4">
      <c r="A56" s="658" t="s">
        <v>1208</v>
      </c>
      <c r="C56" s="658">
        <f>C51*C52</f>
        <v>20</v>
      </c>
      <c r="D56" s="658">
        <f t="shared" ref="D56:P56" si="15">D51*D52</f>
        <v>20</v>
      </c>
      <c r="E56" s="658">
        <f t="shared" si="15"/>
        <v>20</v>
      </c>
      <c r="F56" s="658">
        <f t="shared" si="15"/>
        <v>20</v>
      </c>
      <c r="G56" s="658">
        <f t="shared" si="15"/>
        <v>20</v>
      </c>
      <c r="H56" s="658">
        <f t="shared" si="15"/>
        <v>20</v>
      </c>
      <c r="I56" s="658">
        <f t="shared" si="15"/>
        <v>20</v>
      </c>
      <c r="J56" s="658">
        <f t="shared" si="15"/>
        <v>20</v>
      </c>
      <c r="K56" s="658">
        <f t="shared" si="15"/>
        <v>20</v>
      </c>
      <c r="L56" s="658">
        <f t="shared" si="15"/>
        <v>20</v>
      </c>
      <c r="M56" s="658">
        <f t="shared" si="15"/>
        <v>20</v>
      </c>
      <c r="N56" s="658">
        <f t="shared" si="15"/>
        <v>20</v>
      </c>
      <c r="O56" s="658">
        <f t="shared" si="15"/>
        <v>20</v>
      </c>
      <c r="P56" s="658">
        <f t="shared" si="15"/>
        <v>20</v>
      </c>
      <c r="U56" s="1092">
        <f>SUM(U54:U55)</f>
        <v>408</v>
      </c>
      <c r="V56" s="664">
        <f>U56*U50</f>
        <v>4896</v>
      </c>
      <c r="W56" s="1093">
        <f>V56*'VRH Rates'!D5</f>
        <v>416160</v>
      </c>
      <c r="X56" s="1068">
        <f>V56*'Avg Pass, Mile Per Hr'!C9</f>
        <v>62668.800000000003</v>
      </c>
      <c r="Y56" s="1068">
        <f>V56*'Avg Pass, Mile Per Hr'!C6</f>
        <v>34272</v>
      </c>
      <c r="Z56" s="1027">
        <f>Y56*'Fare Assumptions'!C7</f>
        <v>514080</v>
      </c>
      <c r="AA56" s="1002"/>
      <c r="AB56" s="1002"/>
      <c r="AC56" s="775"/>
    </row>
    <row r="57" spans="1:37" x14ac:dyDescent="0.35">
      <c r="A57" s="658" t="s">
        <v>1209</v>
      </c>
      <c r="C57" s="658">
        <f>C51*C53</f>
        <v>8</v>
      </c>
      <c r="D57" s="658">
        <f t="shared" ref="D57:R57" si="16">D51*D53</f>
        <v>8</v>
      </c>
      <c r="E57" s="658">
        <f t="shared" si="16"/>
        <v>8</v>
      </c>
      <c r="F57" s="658">
        <f t="shared" si="16"/>
        <v>8</v>
      </c>
      <c r="G57" s="658">
        <f t="shared" si="16"/>
        <v>8</v>
      </c>
      <c r="H57" s="658">
        <f t="shared" si="16"/>
        <v>8</v>
      </c>
      <c r="I57" s="658">
        <f t="shared" si="16"/>
        <v>8</v>
      </c>
      <c r="J57" s="658">
        <f t="shared" si="16"/>
        <v>8</v>
      </c>
      <c r="K57" s="658">
        <f t="shared" si="16"/>
        <v>8</v>
      </c>
      <c r="L57" s="658">
        <f t="shared" si="16"/>
        <v>8</v>
      </c>
      <c r="M57" s="658">
        <f t="shared" si="16"/>
        <v>8</v>
      </c>
      <c r="N57" s="658">
        <f t="shared" si="16"/>
        <v>8</v>
      </c>
      <c r="O57" s="658">
        <f t="shared" si="16"/>
        <v>8</v>
      </c>
      <c r="P57" s="658">
        <f t="shared" si="16"/>
        <v>8</v>
      </c>
      <c r="Q57" s="658">
        <f t="shared" si="16"/>
        <v>8</v>
      </c>
      <c r="R57" s="658">
        <f t="shared" si="16"/>
        <v>8</v>
      </c>
      <c r="U57" s="666"/>
      <c r="V57" s="1014"/>
      <c r="W57" s="1009"/>
      <c r="X57" s="1009"/>
      <c r="Y57" s="1009"/>
      <c r="Z57" s="1009"/>
      <c r="AA57" s="1041"/>
      <c r="AB57" s="1041"/>
      <c r="AG57" s="784"/>
      <c r="AH57" s="784"/>
      <c r="AI57" s="784"/>
      <c r="AJ57" s="1006"/>
      <c r="AK57" s="784"/>
    </row>
    <row r="58" spans="1:37" ht="18.600000000000001" thickBot="1" x14ac:dyDescent="0.4">
      <c r="A58" s="663" t="s">
        <v>1210</v>
      </c>
      <c r="B58" s="663"/>
      <c r="C58" s="663">
        <f t="shared" ref="C58:R58" si="17">SUM(C56:C57)</f>
        <v>28</v>
      </c>
      <c r="D58" s="663">
        <f t="shared" si="17"/>
        <v>28</v>
      </c>
      <c r="E58" s="663">
        <f t="shared" si="17"/>
        <v>28</v>
      </c>
      <c r="F58" s="663">
        <f t="shared" si="17"/>
        <v>28</v>
      </c>
      <c r="G58" s="663">
        <f t="shared" si="17"/>
        <v>28</v>
      </c>
      <c r="H58" s="663">
        <f t="shared" si="17"/>
        <v>28</v>
      </c>
      <c r="I58" s="663">
        <f t="shared" si="17"/>
        <v>28</v>
      </c>
      <c r="J58" s="663">
        <f t="shared" si="17"/>
        <v>28</v>
      </c>
      <c r="K58" s="663">
        <f t="shared" si="17"/>
        <v>28</v>
      </c>
      <c r="L58" s="663">
        <f t="shared" si="17"/>
        <v>28</v>
      </c>
      <c r="M58" s="663">
        <f t="shared" si="17"/>
        <v>28</v>
      </c>
      <c r="N58" s="663">
        <f t="shared" si="17"/>
        <v>28</v>
      </c>
      <c r="O58" s="663">
        <f t="shared" si="17"/>
        <v>28</v>
      </c>
      <c r="P58" s="663">
        <f t="shared" si="17"/>
        <v>28</v>
      </c>
      <c r="Q58" s="663">
        <f t="shared" si="17"/>
        <v>8</v>
      </c>
      <c r="R58" s="663">
        <f t="shared" si="17"/>
        <v>8</v>
      </c>
      <c r="S58" s="663"/>
      <c r="T58" s="663"/>
      <c r="W58" s="1015"/>
      <c r="X58" s="1015"/>
      <c r="Y58" s="1015"/>
      <c r="Z58" s="1015"/>
      <c r="AA58" s="1042"/>
      <c r="AB58" s="1016"/>
      <c r="AG58" s="784"/>
      <c r="AH58" s="784"/>
      <c r="AI58" s="784"/>
      <c r="AJ58" s="1006"/>
      <c r="AK58" s="784"/>
    </row>
    <row r="59" spans="1:37" ht="24" thickBot="1" x14ac:dyDescent="0.5">
      <c r="W59" s="1015"/>
      <c r="X59" s="1015"/>
      <c r="Y59" s="1015"/>
      <c r="Z59" s="1015"/>
      <c r="AA59" s="1042"/>
      <c r="AB59" s="1016"/>
      <c r="AG59" s="784"/>
      <c r="AH59" s="956">
        <v>225</v>
      </c>
      <c r="AI59" s="956">
        <v>175</v>
      </c>
      <c r="AJ59" s="1007">
        <f>AI59-AH59</f>
        <v>-50</v>
      </c>
      <c r="AK59" s="784"/>
    </row>
    <row r="60" spans="1:37" ht="18.600000000000001" thickBot="1" x14ac:dyDescent="0.4">
      <c r="A60" s="614" t="s">
        <v>407</v>
      </c>
      <c r="U60" s="1164" t="s">
        <v>407</v>
      </c>
      <c r="V60" s="1165"/>
      <c r="W60" s="1166"/>
      <c r="X60" s="1015"/>
      <c r="Y60" s="1015"/>
      <c r="Z60" s="1015"/>
      <c r="AA60" s="1042"/>
      <c r="AB60" s="1016"/>
      <c r="AG60" s="784"/>
      <c r="AH60" s="767">
        <f>28294*AH59</f>
        <v>6366150</v>
      </c>
      <c r="AI60" s="767">
        <f>28294*175</f>
        <v>4951450</v>
      </c>
      <c r="AJ60" s="1008">
        <f>AI60-AH60</f>
        <v>-1414700</v>
      </c>
      <c r="AK60" s="784"/>
    </row>
    <row r="61" spans="1:37" x14ac:dyDescent="0.35">
      <c r="A61" s="661" t="s">
        <v>307</v>
      </c>
      <c r="B61" s="669" t="s">
        <v>290</v>
      </c>
      <c r="C61" s="658" t="s">
        <v>291</v>
      </c>
      <c r="D61" s="658" t="s">
        <v>292</v>
      </c>
      <c r="E61" s="658" t="s">
        <v>293</v>
      </c>
      <c r="F61" s="658" t="s">
        <v>294</v>
      </c>
      <c r="G61" s="658" t="s">
        <v>295</v>
      </c>
      <c r="H61" s="658" t="s">
        <v>296</v>
      </c>
      <c r="I61" s="658" t="s">
        <v>310</v>
      </c>
      <c r="J61" s="658" t="s">
        <v>311</v>
      </c>
      <c r="K61" s="658" t="s">
        <v>312</v>
      </c>
      <c r="L61" s="658" t="s">
        <v>313</v>
      </c>
      <c r="M61" s="658" t="s">
        <v>314</v>
      </c>
      <c r="N61" s="658" t="s">
        <v>315</v>
      </c>
      <c r="O61" s="658" t="s">
        <v>316</v>
      </c>
      <c r="P61" s="658" t="s">
        <v>317</v>
      </c>
      <c r="Q61" s="658" t="s">
        <v>318</v>
      </c>
      <c r="R61" s="658" t="s">
        <v>319</v>
      </c>
      <c r="S61" s="658" t="s">
        <v>320</v>
      </c>
      <c r="U61" s="677" t="s">
        <v>400</v>
      </c>
      <c r="V61" s="1023" t="s">
        <v>417</v>
      </c>
      <c r="W61" s="1083" t="s">
        <v>246</v>
      </c>
      <c r="X61" s="1084" t="s">
        <v>412</v>
      </c>
      <c r="Y61" s="1084" t="s">
        <v>301</v>
      </c>
      <c r="Z61" s="1085" t="s">
        <v>504</v>
      </c>
      <c r="AA61" s="1051"/>
      <c r="AB61" s="1051"/>
      <c r="AG61" s="784"/>
      <c r="AH61" s="784"/>
      <c r="AI61" s="784"/>
      <c r="AJ61" s="1006"/>
      <c r="AK61" s="784"/>
    </row>
    <row r="62" spans="1:37" x14ac:dyDescent="0.35">
      <c r="C62" s="658">
        <v>1</v>
      </c>
      <c r="D62" s="658">
        <v>2</v>
      </c>
      <c r="E62" s="658">
        <v>3</v>
      </c>
      <c r="F62" s="658">
        <v>4</v>
      </c>
      <c r="G62" s="658">
        <v>5</v>
      </c>
      <c r="H62" s="658">
        <v>6</v>
      </c>
      <c r="I62" s="658">
        <v>7</v>
      </c>
      <c r="J62" s="658">
        <v>8</v>
      </c>
      <c r="K62" s="658">
        <v>9</v>
      </c>
      <c r="L62" s="658">
        <v>10</v>
      </c>
      <c r="M62" s="658">
        <v>11</v>
      </c>
      <c r="N62" s="658">
        <v>12</v>
      </c>
      <c r="O62" s="658">
        <v>13</v>
      </c>
      <c r="P62" s="658">
        <v>14</v>
      </c>
      <c r="Q62" s="658">
        <v>15</v>
      </c>
      <c r="R62" s="658">
        <v>17</v>
      </c>
      <c r="S62" s="658">
        <v>18</v>
      </c>
      <c r="U62" s="688">
        <v>8</v>
      </c>
      <c r="W62" s="1019"/>
      <c r="X62" s="1019"/>
      <c r="Y62" s="1019"/>
      <c r="Z62" s="1028"/>
      <c r="AA62" s="1016"/>
      <c r="AB62" s="1016"/>
      <c r="AG62" s="784"/>
      <c r="AH62" s="784"/>
      <c r="AI62" s="784"/>
      <c r="AJ62" s="1006"/>
      <c r="AK62" s="784"/>
    </row>
    <row r="63" spans="1:37" ht="18.600000000000001" thickBot="1" x14ac:dyDescent="0.4">
      <c r="A63" s="663" t="s">
        <v>5</v>
      </c>
      <c r="B63" s="663"/>
      <c r="C63" s="663">
        <v>2</v>
      </c>
      <c r="D63" s="663">
        <v>2</v>
      </c>
      <c r="E63" s="663">
        <v>2</v>
      </c>
      <c r="F63" s="663">
        <v>2</v>
      </c>
      <c r="G63" s="663">
        <v>1</v>
      </c>
      <c r="H63" s="663">
        <v>1</v>
      </c>
      <c r="I63" s="663">
        <v>1</v>
      </c>
      <c r="J63" s="663">
        <v>1</v>
      </c>
      <c r="K63" s="663">
        <v>1</v>
      </c>
      <c r="L63" s="663">
        <v>2</v>
      </c>
      <c r="M63" s="663">
        <v>2</v>
      </c>
      <c r="N63" s="663">
        <v>2</v>
      </c>
      <c r="O63" s="663">
        <v>12</v>
      </c>
      <c r="P63" s="663">
        <v>1</v>
      </c>
      <c r="Q63" s="663"/>
      <c r="R63" s="663"/>
      <c r="S63" s="663"/>
      <c r="T63" s="663"/>
      <c r="U63" s="688"/>
      <c r="W63" s="1019"/>
      <c r="X63" s="1019"/>
      <c r="Y63" s="1019"/>
      <c r="Z63" s="1028"/>
      <c r="AA63" s="1016"/>
      <c r="AB63" s="1016"/>
      <c r="AJ63" s="1006"/>
    </row>
    <row r="64" spans="1:37" x14ac:dyDescent="0.35">
      <c r="A64" s="658" t="s">
        <v>297</v>
      </c>
      <c r="C64" s="658">
        <v>5</v>
      </c>
      <c r="D64" s="658">
        <v>5</v>
      </c>
      <c r="E64" s="658">
        <v>5</v>
      </c>
      <c r="F64" s="658">
        <v>5</v>
      </c>
      <c r="G64" s="658">
        <v>5</v>
      </c>
      <c r="H64" s="658">
        <v>5</v>
      </c>
      <c r="I64" s="658">
        <v>5</v>
      </c>
      <c r="J64" s="658">
        <v>5</v>
      </c>
      <c r="K64" s="658">
        <v>5</v>
      </c>
      <c r="L64" s="658">
        <v>5</v>
      </c>
      <c r="M64" s="658">
        <v>5</v>
      </c>
      <c r="N64" s="658">
        <v>5</v>
      </c>
      <c r="O64" s="658">
        <v>5</v>
      </c>
      <c r="P64" s="658">
        <v>5</v>
      </c>
      <c r="U64" s="694"/>
      <c r="V64" s="661"/>
      <c r="W64" s="1020"/>
      <c r="X64" s="1020"/>
      <c r="Y64" s="1020"/>
      <c r="Z64" s="1029"/>
      <c r="AA64" s="1041"/>
      <c r="AB64" s="1041"/>
      <c r="AG64" s="784"/>
      <c r="AH64" s="784"/>
      <c r="AI64" s="784"/>
      <c r="AJ64" s="1006"/>
      <c r="AK64" s="784"/>
    </row>
    <row r="65" spans="1:37" ht="18.600000000000001" thickBot="1" x14ac:dyDescent="0.4">
      <c r="A65" s="658" t="s">
        <v>298</v>
      </c>
      <c r="C65" s="658">
        <v>2</v>
      </c>
      <c r="D65" s="658">
        <v>2</v>
      </c>
      <c r="E65" s="658">
        <v>2</v>
      </c>
      <c r="F65" s="658">
        <v>2</v>
      </c>
      <c r="G65" s="658">
        <v>2</v>
      </c>
      <c r="H65" s="658">
        <v>2</v>
      </c>
      <c r="I65" s="658">
        <v>2</v>
      </c>
      <c r="J65" s="658">
        <v>2</v>
      </c>
      <c r="K65" s="658">
        <v>2</v>
      </c>
      <c r="L65" s="658">
        <v>2</v>
      </c>
      <c r="M65" s="658">
        <v>2</v>
      </c>
      <c r="N65" s="658">
        <v>2</v>
      </c>
      <c r="O65" s="658">
        <v>2</v>
      </c>
      <c r="P65" s="658">
        <v>2</v>
      </c>
      <c r="Q65" s="658">
        <v>2</v>
      </c>
      <c r="R65" s="658">
        <v>2</v>
      </c>
      <c r="U65" s="1086" t="s">
        <v>1212</v>
      </c>
      <c r="W65" s="1019"/>
      <c r="X65" s="1019"/>
      <c r="Y65" s="1019"/>
      <c r="Z65" s="1028"/>
      <c r="AA65" s="1016"/>
      <c r="AB65" s="1016"/>
      <c r="AG65" s="784"/>
      <c r="AH65" s="784"/>
      <c r="AI65" s="784"/>
      <c r="AJ65" s="1006"/>
      <c r="AK65" s="784"/>
    </row>
    <row r="66" spans="1:37" ht="24" thickBot="1" x14ac:dyDescent="0.5">
      <c r="A66" s="663" t="s">
        <v>300</v>
      </c>
      <c r="B66" s="663"/>
      <c r="C66" s="663">
        <f>C65+C64</f>
        <v>7</v>
      </c>
      <c r="D66" s="663">
        <f t="shared" ref="D66:R66" si="18">D65+D64</f>
        <v>7</v>
      </c>
      <c r="E66" s="663">
        <f t="shared" si="18"/>
        <v>7</v>
      </c>
      <c r="F66" s="663">
        <f t="shared" si="18"/>
        <v>7</v>
      </c>
      <c r="G66" s="663">
        <f t="shared" si="18"/>
        <v>7</v>
      </c>
      <c r="H66" s="663">
        <f t="shared" si="18"/>
        <v>7</v>
      </c>
      <c r="I66" s="663">
        <f t="shared" si="18"/>
        <v>7</v>
      </c>
      <c r="J66" s="663">
        <f t="shared" si="18"/>
        <v>7</v>
      </c>
      <c r="K66" s="663">
        <f t="shared" si="18"/>
        <v>7</v>
      </c>
      <c r="L66" s="663">
        <f t="shared" si="18"/>
        <v>7</v>
      </c>
      <c r="M66" s="663">
        <f t="shared" si="18"/>
        <v>7</v>
      </c>
      <c r="N66" s="663">
        <f t="shared" si="18"/>
        <v>7</v>
      </c>
      <c r="O66" s="663">
        <f t="shared" si="18"/>
        <v>7</v>
      </c>
      <c r="P66" s="663">
        <f t="shared" si="18"/>
        <v>7</v>
      </c>
      <c r="Q66" s="663">
        <f t="shared" si="18"/>
        <v>2</v>
      </c>
      <c r="R66" s="663">
        <f t="shared" si="18"/>
        <v>2</v>
      </c>
      <c r="S66" s="663"/>
      <c r="T66" s="663"/>
      <c r="U66" s="688">
        <f>SUM(B68:T68)</f>
        <v>160</v>
      </c>
      <c r="W66" s="1019"/>
      <c r="X66" s="1019"/>
      <c r="Y66" s="1019"/>
      <c r="Z66" s="1028"/>
      <c r="AA66" s="1016"/>
      <c r="AB66" s="1016"/>
      <c r="AC66" s="669"/>
      <c r="AG66" s="784"/>
      <c r="AH66" s="956">
        <v>240</v>
      </c>
      <c r="AI66" s="956">
        <v>175</v>
      </c>
      <c r="AJ66" s="1007">
        <f>AI66-AH66</f>
        <v>-65</v>
      </c>
      <c r="AK66" s="784"/>
    </row>
    <row r="67" spans="1:37" x14ac:dyDescent="0.35">
      <c r="A67" s="661" t="s">
        <v>401</v>
      </c>
      <c r="U67" s="688">
        <f>SUM(B69:T69)</f>
        <v>64</v>
      </c>
      <c r="W67" s="1019"/>
      <c r="X67" s="1019"/>
      <c r="Y67" s="1019"/>
      <c r="Z67" s="1028"/>
      <c r="AA67" s="1016"/>
      <c r="AB67" s="1016"/>
      <c r="AC67" s="669"/>
      <c r="AG67" s="784"/>
      <c r="AH67" s="767">
        <f>28294*AH66</f>
        <v>6790560</v>
      </c>
      <c r="AI67" s="767">
        <f>28294*175</f>
        <v>4951450</v>
      </c>
      <c r="AJ67" s="1008">
        <f>AI67-AH67</f>
        <v>-1839110</v>
      </c>
      <c r="AK67" s="784"/>
    </row>
    <row r="68" spans="1:37" ht="18.600000000000001" thickBot="1" x14ac:dyDescent="0.4">
      <c r="A68" s="658" t="s">
        <v>297</v>
      </c>
      <c r="C68" s="658">
        <f>C63*C64</f>
        <v>10</v>
      </c>
      <c r="D68" s="658">
        <f t="shared" ref="D68:R68" si="19">D63*D64</f>
        <v>10</v>
      </c>
      <c r="E68" s="658">
        <f t="shared" si="19"/>
        <v>10</v>
      </c>
      <c r="F68" s="658">
        <f t="shared" si="19"/>
        <v>10</v>
      </c>
      <c r="G68" s="658">
        <f t="shared" si="19"/>
        <v>5</v>
      </c>
      <c r="H68" s="658">
        <f t="shared" si="19"/>
        <v>5</v>
      </c>
      <c r="I68" s="658">
        <f t="shared" si="19"/>
        <v>5</v>
      </c>
      <c r="J68" s="658">
        <f t="shared" si="19"/>
        <v>5</v>
      </c>
      <c r="K68" s="658">
        <f t="shared" si="19"/>
        <v>5</v>
      </c>
      <c r="L68" s="658">
        <f t="shared" si="19"/>
        <v>10</v>
      </c>
      <c r="M68" s="658">
        <f t="shared" si="19"/>
        <v>10</v>
      </c>
      <c r="N68" s="658">
        <f t="shared" si="19"/>
        <v>10</v>
      </c>
      <c r="O68" s="658">
        <f t="shared" si="19"/>
        <v>60</v>
      </c>
      <c r="P68" s="658">
        <f t="shared" si="19"/>
        <v>5</v>
      </c>
      <c r="Q68" s="658">
        <f t="shared" si="19"/>
        <v>0</v>
      </c>
      <c r="R68" s="658">
        <f t="shared" si="19"/>
        <v>0</v>
      </c>
      <c r="U68" s="1092">
        <f>SUM(U66:U67)</f>
        <v>224</v>
      </c>
      <c r="V68" s="664">
        <f>U68*U62</f>
        <v>1792</v>
      </c>
      <c r="W68" s="1093">
        <f>V68*'VRH Rates'!D5</f>
        <v>152320</v>
      </c>
      <c r="X68" s="1068">
        <f>V68*'Avg Pass, Mile Per Hr'!C9</f>
        <v>22937.600000000002</v>
      </c>
      <c r="Y68" s="1068">
        <f>V68*'Avg Pass, Mile Per Hr'!C3</f>
        <v>12544</v>
      </c>
      <c r="Z68" s="1027">
        <f>Y68*'Fare Assumptions'!C5</f>
        <v>62720</v>
      </c>
      <c r="AA68" s="1002"/>
      <c r="AB68" s="1002"/>
      <c r="AC68" s="767"/>
      <c r="AG68" s="784"/>
      <c r="AH68" s="784"/>
      <c r="AI68" s="784"/>
      <c r="AJ68" s="1006"/>
      <c r="AK68" s="784"/>
    </row>
    <row r="69" spans="1:37" x14ac:dyDescent="0.35">
      <c r="A69" s="658" t="s">
        <v>298</v>
      </c>
      <c r="C69" s="658">
        <f>C63*C65</f>
        <v>4</v>
      </c>
      <c r="D69" s="658">
        <f t="shared" ref="D69:R69" si="20">D63*D65</f>
        <v>4</v>
      </c>
      <c r="E69" s="658">
        <f t="shared" si="20"/>
        <v>4</v>
      </c>
      <c r="F69" s="658">
        <f t="shared" si="20"/>
        <v>4</v>
      </c>
      <c r="G69" s="658">
        <f t="shared" si="20"/>
        <v>2</v>
      </c>
      <c r="H69" s="658">
        <f t="shared" si="20"/>
        <v>2</v>
      </c>
      <c r="I69" s="658">
        <f t="shared" si="20"/>
        <v>2</v>
      </c>
      <c r="J69" s="658">
        <f t="shared" si="20"/>
        <v>2</v>
      </c>
      <c r="K69" s="658">
        <f t="shared" si="20"/>
        <v>2</v>
      </c>
      <c r="L69" s="658">
        <f t="shared" si="20"/>
        <v>4</v>
      </c>
      <c r="M69" s="658">
        <f t="shared" si="20"/>
        <v>4</v>
      </c>
      <c r="N69" s="658">
        <f t="shared" si="20"/>
        <v>4</v>
      </c>
      <c r="O69" s="658">
        <f t="shared" si="20"/>
        <v>24</v>
      </c>
      <c r="P69" s="658">
        <f t="shared" si="20"/>
        <v>2</v>
      </c>
      <c r="Q69" s="658">
        <f t="shared" si="20"/>
        <v>0</v>
      </c>
      <c r="R69" s="658">
        <f t="shared" si="20"/>
        <v>0</v>
      </c>
      <c r="U69" s="666"/>
      <c r="V69" s="1014"/>
      <c r="W69" s="1009"/>
      <c r="X69" s="1009"/>
      <c r="Y69" s="1009"/>
      <c r="Z69" s="1009"/>
      <c r="AA69" s="1041"/>
      <c r="AB69" s="1041"/>
      <c r="AG69" s="784"/>
      <c r="AH69" s="784"/>
      <c r="AI69" s="784"/>
      <c r="AJ69" s="1006"/>
      <c r="AK69" s="784"/>
    </row>
    <row r="70" spans="1:37" ht="18.600000000000001" thickBot="1" x14ac:dyDescent="0.4">
      <c r="A70" s="663" t="s">
        <v>1210</v>
      </c>
      <c r="B70" s="663"/>
      <c r="C70" s="663">
        <f t="shared" ref="C70:R70" si="21">SUM(C68:C69)</f>
        <v>14</v>
      </c>
      <c r="D70" s="663">
        <f t="shared" si="21"/>
        <v>14</v>
      </c>
      <c r="E70" s="663">
        <f t="shared" si="21"/>
        <v>14</v>
      </c>
      <c r="F70" s="663">
        <f t="shared" si="21"/>
        <v>14</v>
      </c>
      <c r="G70" s="663">
        <f t="shared" si="21"/>
        <v>7</v>
      </c>
      <c r="H70" s="663">
        <f t="shared" si="21"/>
        <v>7</v>
      </c>
      <c r="I70" s="663">
        <f t="shared" si="21"/>
        <v>7</v>
      </c>
      <c r="J70" s="663">
        <f t="shared" si="21"/>
        <v>7</v>
      </c>
      <c r="K70" s="663">
        <f t="shared" si="21"/>
        <v>7</v>
      </c>
      <c r="L70" s="663">
        <f t="shared" si="21"/>
        <v>14</v>
      </c>
      <c r="M70" s="663">
        <f t="shared" si="21"/>
        <v>14</v>
      </c>
      <c r="N70" s="663">
        <f t="shared" si="21"/>
        <v>14</v>
      </c>
      <c r="O70" s="663">
        <f t="shared" si="21"/>
        <v>84</v>
      </c>
      <c r="P70" s="663">
        <f t="shared" si="21"/>
        <v>7</v>
      </c>
      <c r="Q70" s="663">
        <f t="shared" si="21"/>
        <v>0</v>
      </c>
      <c r="R70" s="663">
        <f t="shared" si="21"/>
        <v>0</v>
      </c>
      <c r="S70" s="663"/>
      <c r="T70" s="663"/>
      <c r="W70" s="1015"/>
      <c r="X70" s="1015"/>
      <c r="Y70" s="1015"/>
      <c r="Z70" s="1015"/>
      <c r="AA70" s="1042"/>
      <c r="AB70" s="1016"/>
      <c r="AJ70" s="1006"/>
    </row>
    <row r="71" spans="1:37" x14ac:dyDescent="0.35">
      <c r="U71" s="1065" t="s">
        <v>400</v>
      </c>
      <c r="V71" s="1023" t="s">
        <v>417</v>
      </c>
      <c r="W71" s="1083" t="s">
        <v>246</v>
      </c>
      <c r="X71" s="1084" t="s">
        <v>412</v>
      </c>
      <c r="Y71" s="1084" t="s">
        <v>301</v>
      </c>
      <c r="Z71" s="1085" t="s">
        <v>504</v>
      </c>
      <c r="AA71" s="1051"/>
      <c r="AB71" s="1051"/>
      <c r="AG71" s="784"/>
      <c r="AH71" s="784"/>
      <c r="AI71" s="784"/>
      <c r="AJ71" s="1006"/>
      <c r="AK71" s="784"/>
    </row>
    <row r="72" spans="1:37" ht="18.600000000000001" thickBot="1" x14ac:dyDescent="0.4">
      <c r="A72" s="661" t="s">
        <v>308</v>
      </c>
      <c r="U72" s="1077">
        <v>27</v>
      </c>
      <c r="W72" s="1019"/>
      <c r="X72" s="1019"/>
      <c r="Y72" s="1019"/>
      <c r="Z72" s="1028"/>
      <c r="AA72" s="1016"/>
      <c r="AB72" s="1016"/>
      <c r="AG72" s="784"/>
      <c r="AH72" s="784"/>
      <c r="AI72" s="784"/>
      <c r="AJ72" s="1006"/>
      <c r="AK72" s="784"/>
    </row>
    <row r="73" spans="1:37" ht="24" thickBot="1" x14ac:dyDescent="0.5">
      <c r="A73" s="663" t="s">
        <v>5</v>
      </c>
      <c r="B73" s="663"/>
      <c r="C73" s="663">
        <v>2</v>
      </c>
      <c r="D73" s="663">
        <v>2</v>
      </c>
      <c r="E73" s="663">
        <v>2</v>
      </c>
      <c r="F73" s="663">
        <v>2</v>
      </c>
      <c r="G73" s="663">
        <v>2</v>
      </c>
      <c r="H73" s="663">
        <v>2</v>
      </c>
      <c r="I73" s="663">
        <v>2</v>
      </c>
      <c r="J73" s="663">
        <v>2</v>
      </c>
      <c r="K73" s="663">
        <v>2</v>
      </c>
      <c r="L73" s="663">
        <v>2</v>
      </c>
      <c r="M73" s="663">
        <v>2</v>
      </c>
      <c r="N73" s="663">
        <v>2</v>
      </c>
      <c r="O73" s="663">
        <v>2</v>
      </c>
      <c r="P73" s="663">
        <v>1</v>
      </c>
      <c r="Q73" s="663">
        <v>1</v>
      </c>
      <c r="R73" s="663">
        <v>1</v>
      </c>
      <c r="S73" s="663"/>
      <c r="T73" s="663"/>
      <c r="U73" s="688"/>
      <c r="W73" s="1019"/>
      <c r="X73" s="1019"/>
      <c r="Y73" s="1019"/>
      <c r="Z73" s="1028"/>
      <c r="AA73" s="1016"/>
      <c r="AB73" s="1016"/>
      <c r="AG73" s="784"/>
      <c r="AH73" s="956">
        <v>260</v>
      </c>
      <c r="AI73" s="956">
        <v>175</v>
      </c>
      <c r="AJ73" s="1007">
        <f>AI73-AH73</f>
        <v>-85</v>
      </c>
      <c r="AK73" s="784"/>
    </row>
    <row r="74" spans="1:37" x14ac:dyDescent="0.35">
      <c r="A74" s="658" t="s">
        <v>297</v>
      </c>
      <c r="C74" s="658">
        <v>5</v>
      </c>
      <c r="D74" s="658">
        <v>5</v>
      </c>
      <c r="E74" s="658">
        <v>5</v>
      </c>
      <c r="F74" s="658">
        <v>5</v>
      </c>
      <c r="G74" s="658">
        <v>5</v>
      </c>
      <c r="H74" s="658">
        <v>5</v>
      </c>
      <c r="I74" s="658">
        <v>5</v>
      </c>
      <c r="J74" s="658">
        <v>5</v>
      </c>
      <c r="K74" s="658">
        <v>5</v>
      </c>
      <c r="L74" s="658">
        <v>5</v>
      </c>
      <c r="M74" s="658">
        <v>5</v>
      </c>
      <c r="N74" s="658">
        <v>5</v>
      </c>
      <c r="O74" s="658">
        <v>5</v>
      </c>
      <c r="P74" s="658">
        <v>5</v>
      </c>
      <c r="U74" s="688"/>
      <c r="V74" s="661"/>
      <c r="W74" s="1020"/>
      <c r="X74" s="1020"/>
      <c r="Y74" s="1020"/>
      <c r="Z74" s="1029"/>
      <c r="AA74" s="1041"/>
      <c r="AB74" s="1041"/>
      <c r="AG74" s="784"/>
      <c r="AH74" s="767">
        <f>28294*AH73</f>
        <v>7356440</v>
      </c>
      <c r="AI74" s="767">
        <f>28294*175</f>
        <v>4951450</v>
      </c>
      <c r="AJ74" s="1008">
        <f>AI74-AH74</f>
        <v>-2404990</v>
      </c>
      <c r="AK74" s="784"/>
    </row>
    <row r="75" spans="1:37" x14ac:dyDescent="0.35">
      <c r="A75" s="658" t="s">
        <v>298</v>
      </c>
      <c r="C75" s="658">
        <v>2</v>
      </c>
      <c r="D75" s="658">
        <v>2</v>
      </c>
      <c r="E75" s="658">
        <v>2</v>
      </c>
      <c r="F75" s="658">
        <v>2</v>
      </c>
      <c r="G75" s="658">
        <v>2</v>
      </c>
      <c r="H75" s="658">
        <v>2</v>
      </c>
      <c r="I75" s="658">
        <v>2</v>
      </c>
      <c r="J75" s="658">
        <v>2</v>
      </c>
      <c r="K75" s="658">
        <v>2</v>
      </c>
      <c r="L75" s="658">
        <v>2</v>
      </c>
      <c r="M75" s="658">
        <v>2</v>
      </c>
      <c r="N75" s="658">
        <v>2</v>
      </c>
      <c r="O75" s="658">
        <v>2</v>
      </c>
      <c r="P75" s="658">
        <v>2</v>
      </c>
      <c r="Q75" s="658">
        <v>2</v>
      </c>
      <c r="R75" s="658">
        <v>2</v>
      </c>
      <c r="U75" s="1086" t="s">
        <v>1212</v>
      </c>
      <c r="W75" s="1019"/>
      <c r="X75" s="1019"/>
      <c r="Y75" s="1019"/>
      <c r="Z75" s="1028"/>
      <c r="AA75" s="1016"/>
      <c r="AB75" s="1016"/>
      <c r="AG75" s="784"/>
      <c r="AH75" s="784"/>
      <c r="AI75" s="784"/>
      <c r="AJ75" s="1006"/>
      <c r="AK75" s="784"/>
    </row>
    <row r="76" spans="1:37" ht="18.600000000000001" thickBot="1" x14ac:dyDescent="0.4">
      <c r="A76" s="663" t="s">
        <v>300</v>
      </c>
      <c r="B76" s="663"/>
      <c r="C76" s="663">
        <f>C75+C74</f>
        <v>7</v>
      </c>
      <c r="D76" s="663">
        <f t="shared" ref="D76:R76" si="22">D75+D74</f>
        <v>7</v>
      </c>
      <c r="E76" s="663">
        <f t="shared" si="22"/>
        <v>7</v>
      </c>
      <c r="F76" s="663">
        <f t="shared" si="22"/>
        <v>7</v>
      </c>
      <c r="G76" s="663">
        <f t="shared" si="22"/>
        <v>7</v>
      </c>
      <c r="H76" s="663">
        <f t="shared" si="22"/>
        <v>7</v>
      </c>
      <c r="I76" s="663">
        <f t="shared" si="22"/>
        <v>7</v>
      </c>
      <c r="J76" s="663">
        <f t="shared" si="22"/>
        <v>7</v>
      </c>
      <c r="K76" s="663">
        <f t="shared" si="22"/>
        <v>7</v>
      </c>
      <c r="L76" s="663">
        <f t="shared" si="22"/>
        <v>7</v>
      </c>
      <c r="M76" s="663">
        <f t="shared" si="22"/>
        <v>7</v>
      </c>
      <c r="N76" s="663">
        <f t="shared" si="22"/>
        <v>7</v>
      </c>
      <c r="O76" s="663">
        <f t="shared" si="22"/>
        <v>7</v>
      </c>
      <c r="P76" s="663">
        <f t="shared" si="22"/>
        <v>7</v>
      </c>
      <c r="Q76" s="663">
        <f t="shared" si="22"/>
        <v>2</v>
      </c>
      <c r="R76" s="663">
        <f t="shared" si="22"/>
        <v>2</v>
      </c>
      <c r="S76" s="663"/>
      <c r="T76" s="663"/>
      <c r="U76" s="688">
        <f>SUM(B78:T78)</f>
        <v>135</v>
      </c>
      <c r="W76" s="1019"/>
      <c r="X76" s="1019"/>
      <c r="Y76" s="1019"/>
      <c r="Z76" s="1028"/>
      <c r="AA76" s="1016"/>
      <c r="AB76" s="1016"/>
      <c r="AC76" s="669"/>
      <c r="AG76" s="784"/>
      <c r="AH76" s="784"/>
      <c r="AI76" s="784"/>
      <c r="AJ76" s="1006"/>
      <c r="AK76" s="784"/>
    </row>
    <row r="77" spans="1:37" x14ac:dyDescent="0.35">
      <c r="A77" s="661" t="s">
        <v>401</v>
      </c>
      <c r="U77" s="688">
        <f>SUM(B79:T79)</f>
        <v>58</v>
      </c>
      <c r="W77" s="1019"/>
      <c r="X77" s="1019"/>
      <c r="Y77" s="1019"/>
      <c r="Z77" s="1028"/>
      <c r="AA77" s="1016"/>
      <c r="AB77" s="1016"/>
      <c r="AC77" s="669"/>
    </row>
    <row r="78" spans="1:37" ht="18.600000000000001" thickBot="1" x14ac:dyDescent="0.4">
      <c r="A78" s="658" t="s">
        <v>297</v>
      </c>
      <c r="C78" s="658">
        <f>C73*C74</f>
        <v>10</v>
      </c>
      <c r="D78" s="658">
        <f t="shared" ref="D78:R78" si="23">D73*D74</f>
        <v>10</v>
      </c>
      <c r="E78" s="658">
        <f t="shared" si="23"/>
        <v>10</v>
      </c>
      <c r="F78" s="658">
        <f t="shared" si="23"/>
        <v>10</v>
      </c>
      <c r="G78" s="658">
        <f t="shared" si="23"/>
        <v>10</v>
      </c>
      <c r="H78" s="658">
        <f t="shared" si="23"/>
        <v>10</v>
      </c>
      <c r="I78" s="658">
        <f t="shared" si="23"/>
        <v>10</v>
      </c>
      <c r="J78" s="658">
        <f t="shared" si="23"/>
        <v>10</v>
      </c>
      <c r="K78" s="658">
        <f t="shared" si="23"/>
        <v>10</v>
      </c>
      <c r="L78" s="658">
        <f t="shared" si="23"/>
        <v>10</v>
      </c>
      <c r="M78" s="658">
        <f t="shared" si="23"/>
        <v>10</v>
      </c>
      <c r="N78" s="658">
        <f t="shared" si="23"/>
        <v>10</v>
      </c>
      <c r="O78" s="658">
        <f t="shared" si="23"/>
        <v>10</v>
      </c>
      <c r="P78" s="658">
        <f t="shared" si="23"/>
        <v>5</v>
      </c>
      <c r="Q78" s="658">
        <f t="shared" si="23"/>
        <v>0</v>
      </c>
      <c r="R78" s="658">
        <f t="shared" si="23"/>
        <v>0</v>
      </c>
      <c r="U78" s="1092">
        <f>SUM(U76:U77)</f>
        <v>193</v>
      </c>
      <c r="V78" s="664">
        <f>U78*U72</f>
        <v>5211</v>
      </c>
      <c r="W78" s="1093">
        <f>V78*'VRH Rates'!D5</f>
        <v>442935</v>
      </c>
      <c r="X78" s="1068">
        <f>V78*'Avg Pass, Mile Per Hr'!C9</f>
        <v>66700.800000000003</v>
      </c>
      <c r="Y78" s="1068">
        <f>V78*'Avg Pass, Mile Per Hr'!C3</f>
        <v>36477</v>
      </c>
      <c r="Z78" s="1027">
        <f>Y78*'Fare Assumptions'!C5</f>
        <v>182385</v>
      </c>
      <c r="AA78" s="1002"/>
      <c r="AB78" s="1002"/>
      <c r="AC78" s="767"/>
    </row>
    <row r="79" spans="1:37" x14ac:dyDescent="0.35">
      <c r="A79" s="658" t="s">
        <v>298</v>
      </c>
      <c r="C79" s="658">
        <f>C73*C75</f>
        <v>4</v>
      </c>
      <c r="D79" s="658">
        <f t="shared" ref="D79:R79" si="24">D73*D75</f>
        <v>4</v>
      </c>
      <c r="E79" s="658">
        <f t="shared" si="24"/>
        <v>4</v>
      </c>
      <c r="F79" s="658">
        <f t="shared" si="24"/>
        <v>4</v>
      </c>
      <c r="G79" s="658">
        <f t="shared" si="24"/>
        <v>4</v>
      </c>
      <c r="H79" s="658">
        <f t="shared" si="24"/>
        <v>4</v>
      </c>
      <c r="I79" s="658">
        <f t="shared" si="24"/>
        <v>4</v>
      </c>
      <c r="J79" s="658">
        <f t="shared" si="24"/>
        <v>4</v>
      </c>
      <c r="K79" s="658">
        <f t="shared" si="24"/>
        <v>4</v>
      </c>
      <c r="L79" s="658">
        <f t="shared" si="24"/>
        <v>4</v>
      </c>
      <c r="M79" s="658">
        <f t="shared" si="24"/>
        <v>4</v>
      </c>
      <c r="N79" s="658">
        <f t="shared" si="24"/>
        <v>4</v>
      </c>
      <c r="O79" s="658">
        <f t="shared" si="24"/>
        <v>4</v>
      </c>
      <c r="P79" s="658">
        <f t="shared" si="24"/>
        <v>2</v>
      </c>
      <c r="Q79" s="658">
        <f t="shared" si="24"/>
        <v>2</v>
      </c>
      <c r="R79" s="658">
        <f t="shared" si="24"/>
        <v>2</v>
      </c>
      <c r="U79" s="666"/>
      <c r="V79" s="1014"/>
      <c r="W79" s="1009"/>
      <c r="X79" s="1009"/>
      <c r="Y79" s="1009"/>
      <c r="Z79" s="1009"/>
      <c r="AA79" s="1041"/>
      <c r="AB79" s="1041"/>
    </row>
    <row r="80" spans="1:37" ht="18.600000000000001" thickBot="1" x14ac:dyDescent="0.4">
      <c r="A80" s="663" t="s">
        <v>1210</v>
      </c>
      <c r="B80" s="663"/>
      <c r="C80" s="663">
        <f t="shared" ref="C80:R80" si="25">SUM(C78:C79)</f>
        <v>14</v>
      </c>
      <c r="D80" s="663">
        <f t="shared" si="25"/>
        <v>14</v>
      </c>
      <c r="E80" s="663">
        <f t="shared" si="25"/>
        <v>14</v>
      </c>
      <c r="F80" s="663">
        <f t="shared" si="25"/>
        <v>14</v>
      </c>
      <c r="G80" s="663">
        <f t="shared" si="25"/>
        <v>14</v>
      </c>
      <c r="H80" s="663">
        <f t="shared" si="25"/>
        <v>14</v>
      </c>
      <c r="I80" s="663">
        <f t="shared" si="25"/>
        <v>14</v>
      </c>
      <c r="J80" s="663">
        <f t="shared" si="25"/>
        <v>14</v>
      </c>
      <c r="K80" s="663">
        <f t="shared" si="25"/>
        <v>14</v>
      </c>
      <c r="L80" s="663">
        <f t="shared" si="25"/>
        <v>14</v>
      </c>
      <c r="M80" s="663">
        <f t="shared" si="25"/>
        <v>14</v>
      </c>
      <c r="N80" s="663">
        <f t="shared" si="25"/>
        <v>14</v>
      </c>
      <c r="O80" s="663">
        <f t="shared" si="25"/>
        <v>14</v>
      </c>
      <c r="P80" s="663">
        <f t="shared" si="25"/>
        <v>7</v>
      </c>
      <c r="Q80" s="663">
        <f t="shared" si="25"/>
        <v>2</v>
      </c>
      <c r="R80" s="663">
        <f t="shared" si="25"/>
        <v>2</v>
      </c>
      <c r="S80" s="663"/>
      <c r="T80" s="663"/>
      <c r="W80" s="1015"/>
      <c r="X80" s="1015"/>
      <c r="Y80" s="1015"/>
      <c r="Z80" s="1015"/>
      <c r="AA80" s="1042"/>
      <c r="AB80" s="1016"/>
    </row>
    <row r="81" spans="1:31" x14ac:dyDescent="0.35">
      <c r="U81" s="1065" t="s">
        <v>400</v>
      </c>
      <c r="V81" s="1023" t="s">
        <v>417</v>
      </c>
      <c r="W81" s="1083" t="s">
        <v>246</v>
      </c>
      <c r="X81" s="1084" t="s">
        <v>412</v>
      </c>
      <c r="Y81" s="1084" t="s">
        <v>301</v>
      </c>
      <c r="Z81" s="1085" t="s">
        <v>504</v>
      </c>
      <c r="AA81" s="1051"/>
      <c r="AB81" s="1051"/>
    </row>
    <row r="82" spans="1:31" x14ac:dyDescent="0.35">
      <c r="A82" s="661" t="s">
        <v>309</v>
      </c>
      <c r="U82" s="1077">
        <v>17</v>
      </c>
      <c r="W82" s="1019"/>
      <c r="X82" s="1019"/>
      <c r="Y82" s="1019"/>
      <c r="Z82" s="1028"/>
      <c r="AA82" s="1016"/>
      <c r="AB82" s="1016"/>
    </row>
    <row r="83" spans="1:31" ht="18.600000000000001" thickBot="1" x14ac:dyDescent="0.4">
      <c r="A83" s="663" t="s">
        <v>5</v>
      </c>
      <c r="B83" s="663"/>
      <c r="C83" s="663">
        <v>2</v>
      </c>
      <c r="D83" s="663">
        <v>2</v>
      </c>
      <c r="E83" s="663">
        <v>2</v>
      </c>
      <c r="F83" s="663">
        <v>2</v>
      </c>
      <c r="G83" s="663">
        <v>2</v>
      </c>
      <c r="H83" s="663">
        <v>2</v>
      </c>
      <c r="I83" s="663">
        <v>2</v>
      </c>
      <c r="J83" s="663">
        <v>1</v>
      </c>
      <c r="K83" s="663">
        <v>1</v>
      </c>
      <c r="L83" s="663">
        <v>1</v>
      </c>
      <c r="M83" s="663">
        <v>2</v>
      </c>
      <c r="N83" s="663">
        <v>2</v>
      </c>
      <c r="O83" s="663">
        <v>2</v>
      </c>
      <c r="P83" s="663">
        <v>1</v>
      </c>
      <c r="Q83" s="663">
        <v>1</v>
      </c>
      <c r="R83" s="663">
        <v>1</v>
      </c>
      <c r="S83" s="663"/>
      <c r="T83" s="663"/>
      <c r="U83" s="688"/>
      <c r="W83" s="1019"/>
      <c r="X83" s="1019"/>
      <c r="Y83" s="1019"/>
      <c r="Z83" s="1028"/>
      <c r="AA83" s="1016"/>
      <c r="AB83" s="1016"/>
    </row>
    <row r="84" spans="1:31" x14ac:dyDescent="0.35">
      <c r="A84" s="658" t="s">
        <v>297</v>
      </c>
      <c r="C84" s="658">
        <v>5</v>
      </c>
      <c r="D84" s="658">
        <v>5</v>
      </c>
      <c r="E84" s="658">
        <v>5</v>
      </c>
      <c r="F84" s="658">
        <v>5</v>
      </c>
      <c r="G84" s="658">
        <v>5</v>
      </c>
      <c r="H84" s="658">
        <v>5</v>
      </c>
      <c r="I84" s="658">
        <v>5</v>
      </c>
      <c r="J84" s="658">
        <v>5</v>
      </c>
      <c r="K84" s="658">
        <v>5</v>
      </c>
      <c r="L84" s="658">
        <v>5</v>
      </c>
      <c r="M84" s="658">
        <v>5</v>
      </c>
      <c r="N84" s="658">
        <v>5</v>
      </c>
      <c r="O84" s="658">
        <v>5</v>
      </c>
      <c r="P84" s="658">
        <v>5</v>
      </c>
      <c r="U84" s="688"/>
      <c r="V84" s="661"/>
      <c r="W84" s="1020"/>
      <c r="X84" s="1020"/>
      <c r="Y84" s="1020"/>
      <c r="Z84" s="1029"/>
      <c r="AA84" s="1041"/>
      <c r="AB84" s="1041"/>
    </row>
    <row r="85" spans="1:31" x14ac:dyDescent="0.35">
      <c r="A85" s="658" t="s">
        <v>298</v>
      </c>
      <c r="C85" s="658">
        <v>2</v>
      </c>
      <c r="D85" s="658">
        <v>2</v>
      </c>
      <c r="E85" s="658">
        <v>2</v>
      </c>
      <c r="F85" s="658">
        <v>2</v>
      </c>
      <c r="G85" s="658">
        <v>2</v>
      </c>
      <c r="H85" s="658">
        <v>2</v>
      </c>
      <c r="I85" s="658">
        <v>2</v>
      </c>
      <c r="J85" s="658">
        <v>2</v>
      </c>
      <c r="K85" s="658">
        <v>2</v>
      </c>
      <c r="L85" s="658">
        <v>2</v>
      </c>
      <c r="M85" s="658">
        <v>2</v>
      </c>
      <c r="N85" s="658">
        <v>2</v>
      </c>
      <c r="O85" s="658">
        <v>2</v>
      </c>
      <c r="P85" s="658">
        <v>2</v>
      </c>
      <c r="Q85" s="658">
        <v>2</v>
      </c>
      <c r="R85" s="658">
        <v>2</v>
      </c>
      <c r="U85" s="1086" t="s">
        <v>1212</v>
      </c>
      <c r="W85" s="1019"/>
      <c r="X85" s="1019"/>
      <c r="Y85" s="1019"/>
      <c r="Z85" s="1028"/>
      <c r="AA85" s="1016"/>
      <c r="AB85" s="1016"/>
    </row>
    <row r="86" spans="1:31" ht="18.600000000000001" thickBot="1" x14ac:dyDescent="0.4">
      <c r="A86" s="663" t="s">
        <v>300</v>
      </c>
      <c r="B86" s="663"/>
      <c r="C86" s="663">
        <f>C85+C84</f>
        <v>7</v>
      </c>
      <c r="D86" s="663">
        <f t="shared" ref="D86:R86" si="26">D85+D84</f>
        <v>7</v>
      </c>
      <c r="E86" s="663">
        <f t="shared" si="26"/>
        <v>7</v>
      </c>
      <c r="F86" s="663">
        <f t="shared" si="26"/>
        <v>7</v>
      </c>
      <c r="G86" s="663">
        <f t="shared" si="26"/>
        <v>7</v>
      </c>
      <c r="H86" s="663">
        <f t="shared" si="26"/>
        <v>7</v>
      </c>
      <c r="I86" s="663">
        <f t="shared" si="26"/>
        <v>7</v>
      </c>
      <c r="J86" s="663">
        <f t="shared" si="26"/>
        <v>7</v>
      </c>
      <c r="K86" s="663">
        <f t="shared" si="26"/>
        <v>7</v>
      </c>
      <c r="L86" s="663">
        <f t="shared" si="26"/>
        <v>7</v>
      </c>
      <c r="M86" s="663">
        <f t="shared" si="26"/>
        <v>7</v>
      </c>
      <c r="N86" s="663">
        <f t="shared" si="26"/>
        <v>7</v>
      </c>
      <c r="O86" s="663">
        <f t="shared" si="26"/>
        <v>7</v>
      </c>
      <c r="P86" s="663">
        <f t="shared" si="26"/>
        <v>7</v>
      </c>
      <c r="Q86" s="663">
        <f t="shared" si="26"/>
        <v>2</v>
      </c>
      <c r="R86" s="663">
        <f t="shared" si="26"/>
        <v>2</v>
      </c>
      <c r="S86" s="663"/>
      <c r="T86" s="663"/>
      <c r="U86" s="688">
        <f>SUM(B88:T88)</f>
        <v>120</v>
      </c>
      <c r="W86" s="1019"/>
      <c r="X86" s="1019"/>
      <c r="Y86" s="1019"/>
      <c r="Z86" s="1028"/>
      <c r="AA86" s="1016"/>
      <c r="AB86" s="1016"/>
      <c r="AC86" s="669"/>
    </row>
    <row r="87" spans="1:31" x14ac:dyDescent="0.35">
      <c r="A87" s="661" t="s">
        <v>402</v>
      </c>
      <c r="U87" s="688">
        <f>SUM(B89:T89)</f>
        <v>52</v>
      </c>
      <c r="W87" s="1019"/>
      <c r="X87" s="1019"/>
      <c r="Y87" s="1019"/>
      <c r="Z87" s="1028"/>
      <c r="AA87" s="1016"/>
      <c r="AB87" s="1016"/>
      <c r="AC87" s="669"/>
    </row>
    <row r="88" spans="1:31" x14ac:dyDescent="0.35">
      <c r="A88" s="658" t="s">
        <v>297</v>
      </c>
      <c r="C88" s="658">
        <f>C83*C84</f>
        <v>10</v>
      </c>
      <c r="D88" s="658">
        <f t="shared" ref="D88:R88" si="27">D83*D84</f>
        <v>10</v>
      </c>
      <c r="E88" s="658">
        <f t="shared" si="27"/>
        <v>10</v>
      </c>
      <c r="F88" s="658">
        <f t="shared" si="27"/>
        <v>10</v>
      </c>
      <c r="G88" s="658">
        <f t="shared" si="27"/>
        <v>10</v>
      </c>
      <c r="H88" s="658">
        <f t="shared" si="27"/>
        <v>10</v>
      </c>
      <c r="I88" s="658">
        <f t="shared" si="27"/>
        <v>10</v>
      </c>
      <c r="J88" s="658">
        <f t="shared" si="27"/>
        <v>5</v>
      </c>
      <c r="K88" s="658">
        <f t="shared" si="27"/>
        <v>5</v>
      </c>
      <c r="L88" s="658">
        <f t="shared" si="27"/>
        <v>5</v>
      </c>
      <c r="M88" s="658">
        <f t="shared" si="27"/>
        <v>10</v>
      </c>
      <c r="N88" s="658">
        <f t="shared" si="27"/>
        <v>10</v>
      </c>
      <c r="O88" s="658">
        <f t="shared" si="27"/>
        <v>10</v>
      </c>
      <c r="P88" s="658">
        <f t="shared" si="27"/>
        <v>5</v>
      </c>
      <c r="Q88" s="658">
        <f t="shared" si="27"/>
        <v>0</v>
      </c>
      <c r="R88" s="658">
        <f t="shared" si="27"/>
        <v>0</v>
      </c>
      <c r="U88" s="1087">
        <f>SUM(U86:U87)</f>
        <v>172</v>
      </c>
      <c r="V88" s="1022">
        <f>U88*U82</f>
        <v>2924</v>
      </c>
      <c r="W88" s="722">
        <f>V88*'VRH Rates'!D5</f>
        <v>248540</v>
      </c>
      <c r="X88" s="1021">
        <f>V88*'Avg Pass, Mile Per Hr'!C9</f>
        <v>37427.200000000004</v>
      </c>
      <c r="Y88" s="1021">
        <f>V88*'Avg Pass, Mile Per Hr'!C3</f>
        <v>20468</v>
      </c>
      <c r="Z88" s="1030">
        <f>Y88*'Fare Assumptions'!C5</f>
        <v>102340</v>
      </c>
      <c r="AA88" s="1002"/>
      <c r="AB88" s="1002"/>
      <c r="AC88" s="1048"/>
      <c r="AD88" s="784"/>
      <c r="AE88" s="784"/>
    </row>
    <row r="89" spans="1:31" ht="18.600000000000001" thickBot="1" x14ac:dyDescent="0.4">
      <c r="A89" s="658" t="s">
        <v>298</v>
      </c>
      <c r="C89" s="658">
        <f>C83*C85</f>
        <v>4</v>
      </c>
      <c r="D89" s="658">
        <f t="shared" ref="D89:R89" si="28">D83*D85</f>
        <v>4</v>
      </c>
      <c r="E89" s="658">
        <f t="shared" si="28"/>
        <v>4</v>
      </c>
      <c r="F89" s="658">
        <f t="shared" si="28"/>
        <v>4</v>
      </c>
      <c r="G89" s="658">
        <f t="shared" si="28"/>
        <v>4</v>
      </c>
      <c r="H89" s="658">
        <f t="shared" si="28"/>
        <v>4</v>
      </c>
      <c r="I89" s="658">
        <f t="shared" si="28"/>
        <v>4</v>
      </c>
      <c r="J89" s="658">
        <f t="shared" si="28"/>
        <v>2</v>
      </c>
      <c r="K89" s="658">
        <f t="shared" si="28"/>
        <v>2</v>
      </c>
      <c r="L89" s="658">
        <f t="shared" si="28"/>
        <v>2</v>
      </c>
      <c r="M89" s="658">
        <f t="shared" si="28"/>
        <v>4</v>
      </c>
      <c r="N89" s="658">
        <f t="shared" si="28"/>
        <v>4</v>
      </c>
      <c r="O89" s="658">
        <f t="shared" si="28"/>
        <v>4</v>
      </c>
      <c r="P89" s="658">
        <f t="shared" si="28"/>
        <v>2</v>
      </c>
      <c r="Q89" s="658">
        <f t="shared" si="28"/>
        <v>2</v>
      </c>
      <c r="R89" s="658">
        <f t="shared" si="28"/>
        <v>2</v>
      </c>
      <c r="U89" s="1088"/>
      <c r="V89" s="1089"/>
      <c r="W89" s="1090"/>
      <c r="X89" s="1090"/>
      <c r="Y89" s="1090"/>
      <c r="Z89" s="1091"/>
      <c r="AA89" s="1043"/>
      <c r="AB89" s="1043"/>
      <c r="AC89" s="784"/>
      <c r="AD89" s="784"/>
      <c r="AE89" s="784"/>
    </row>
    <row r="90" spans="1:31" ht="18.600000000000001" thickBot="1" x14ac:dyDescent="0.4">
      <c r="A90" s="663" t="s">
        <v>1210</v>
      </c>
      <c r="B90" s="663"/>
      <c r="C90" s="663">
        <f t="shared" ref="C90:R90" si="29">SUM(C88:C89)</f>
        <v>14</v>
      </c>
      <c r="D90" s="663">
        <f t="shared" si="29"/>
        <v>14</v>
      </c>
      <c r="E90" s="663">
        <f t="shared" si="29"/>
        <v>14</v>
      </c>
      <c r="F90" s="663">
        <f t="shared" si="29"/>
        <v>14</v>
      </c>
      <c r="G90" s="663">
        <f t="shared" si="29"/>
        <v>14</v>
      </c>
      <c r="H90" s="663">
        <f t="shared" si="29"/>
        <v>14</v>
      </c>
      <c r="I90" s="663">
        <f t="shared" si="29"/>
        <v>14</v>
      </c>
      <c r="J90" s="663">
        <f t="shared" si="29"/>
        <v>7</v>
      </c>
      <c r="K90" s="663">
        <f t="shared" si="29"/>
        <v>7</v>
      </c>
      <c r="L90" s="663">
        <f t="shared" si="29"/>
        <v>7</v>
      </c>
      <c r="M90" s="663">
        <f t="shared" si="29"/>
        <v>14</v>
      </c>
      <c r="N90" s="663">
        <f t="shared" si="29"/>
        <v>14</v>
      </c>
      <c r="O90" s="663">
        <f t="shared" si="29"/>
        <v>14</v>
      </c>
      <c r="P90" s="663">
        <f t="shared" si="29"/>
        <v>7</v>
      </c>
      <c r="Q90" s="663">
        <f t="shared" si="29"/>
        <v>2</v>
      </c>
      <c r="R90" s="663">
        <f t="shared" si="29"/>
        <v>2</v>
      </c>
      <c r="S90" s="663"/>
      <c r="T90" s="663"/>
      <c r="U90" s="1078" t="s">
        <v>1217</v>
      </c>
      <c r="V90" s="1079">
        <f>V88+V78+V68</f>
        <v>9927</v>
      </c>
      <c r="W90" s="1080">
        <f>W88+W78+W68</f>
        <v>843795</v>
      </c>
      <c r="X90" s="1081">
        <f>X88+X78+X68</f>
        <v>127065.60000000001</v>
      </c>
      <c r="Y90" s="1081">
        <f>Y88+Y78+Y68</f>
        <v>69489</v>
      </c>
      <c r="Z90" s="1082">
        <f>Z88+Z78+Z68</f>
        <v>347445</v>
      </c>
      <c r="AA90" s="1002"/>
      <c r="AB90" s="1002"/>
      <c r="AC90" s="1041"/>
      <c r="AD90" s="784"/>
      <c r="AE90" s="784"/>
    </row>
    <row r="91" spans="1:31" ht="18.600000000000001" thickBot="1" x14ac:dyDescent="0.4">
      <c r="U91" s="1100" t="s">
        <v>92</v>
      </c>
      <c r="V91" s="1101">
        <f>V90+V56+V42+V33</f>
        <v>74005</v>
      </c>
      <c r="W91" s="1102">
        <f>W90+W56+W42+W33</f>
        <v>6290425</v>
      </c>
      <c r="X91" s="1101">
        <f>X90+X56+X42+X33</f>
        <v>947545.63466380152</v>
      </c>
      <c r="Y91" s="1101">
        <f>Y90+Y56+Y42+Y33</f>
        <v>518035</v>
      </c>
      <c r="Z91" s="1101">
        <f>Z90+Z56+Z42+Z33</f>
        <v>861525</v>
      </c>
      <c r="AA91" s="1002"/>
      <c r="AB91" s="1002"/>
      <c r="AC91" s="784"/>
      <c r="AD91" s="784"/>
      <c r="AE91" s="784"/>
    </row>
    <row r="92" spans="1:31" ht="18.600000000000001" thickBot="1" x14ac:dyDescent="0.4">
      <c r="U92" s="1167" t="s">
        <v>1240</v>
      </c>
      <c r="V92" s="1168"/>
      <c r="W92" s="1168"/>
      <c r="X92" s="1168"/>
      <c r="Y92" s="1168"/>
      <c r="Z92" s="1168"/>
      <c r="AA92" s="1044"/>
      <c r="AB92" s="1044"/>
      <c r="AC92" s="784"/>
      <c r="AD92" s="784"/>
      <c r="AE92" s="784"/>
    </row>
    <row r="93" spans="1:31" ht="18.600000000000001" thickBot="1" x14ac:dyDescent="0.4">
      <c r="A93" s="614" t="s">
        <v>1225</v>
      </c>
      <c r="U93" s="1103" t="s">
        <v>1215</v>
      </c>
      <c r="V93" s="1104">
        <v>16420</v>
      </c>
      <c r="W93" s="1102">
        <f>V93*'VRH Rates'!D6</f>
        <v>2873500</v>
      </c>
      <c r="X93" s="1101">
        <f>V93*'Avg Pass, Mile Per Hr'!C10</f>
        <v>229880</v>
      </c>
      <c r="Y93" s="1101">
        <f>V93*'Avg Pass, Mile Per Hr'!C5</f>
        <v>328400</v>
      </c>
      <c r="Z93" s="1101">
        <f>V93*'Avg Pass, Mile Per Hr'!C5</f>
        <v>328400</v>
      </c>
      <c r="AA93" s="1002"/>
      <c r="AB93" s="1002"/>
      <c r="AC93" s="784"/>
      <c r="AD93" s="784"/>
      <c r="AE93" s="784"/>
    </row>
    <row r="94" spans="1:31" ht="18.600000000000001" thickBot="1" x14ac:dyDescent="0.4">
      <c r="A94" s="614" t="s">
        <v>1213</v>
      </c>
      <c r="U94" s="1105" t="s">
        <v>498</v>
      </c>
      <c r="V94" s="1104">
        <v>6786</v>
      </c>
      <c r="W94" s="1102">
        <f>V94*'VRH Rates'!D6</f>
        <v>1187550</v>
      </c>
      <c r="X94" s="1101">
        <f>V94*'Avg Pass, Mile Per Hr'!C10</f>
        <v>95004</v>
      </c>
      <c r="Y94" s="1101">
        <v>27906</v>
      </c>
      <c r="Z94" s="1101">
        <f>Y94*'Fare Assumptions'!C6</f>
        <v>195342</v>
      </c>
      <c r="AA94" s="1002"/>
      <c r="AB94" s="1002"/>
      <c r="AC94" s="784"/>
      <c r="AD94" s="784"/>
      <c r="AE94" s="784"/>
    </row>
    <row r="95" spans="1:31" ht="18.600000000000001" thickBot="1" x14ac:dyDescent="0.4">
      <c r="A95" s="614" t="s">
        <v>1214</v>
      </c>
      <c r="U95" s="1105" t="s">
        <v>1197</v>
      </c>
      <c r="V95" s="1104">
        <v>2553</v>
      </c>
      <c r="W95" s="1102">
        <f>V95*'VRH Rates'!D6</f>
        <v>446775</v>
      </c>
      <c r="X95" s="1101">
        <f>V95*'Avg Pass, Mile Per Hr'!C10</f>
        <v>35742</v>
      </c>
      <c r="Y95" s="1101">
        <v>25795</v>
      </c>
      <c r="Z95" s="1101">
        <f>Y95*'Fare Assumptions'!C6</f>
        <v>180565</v>
      </c>
      <c r="AA95" s="1002"/>
      <c r="AB95" s="1002"/>
      <c r="AC95" s="784"/>
      <c r="AD95" s="784"/>
      <c r="AE95" s="784"/>
    </row>
    <row r="96" spans="1:31" ht="18.600000000000001" thickBot="1" x14ac:dyDescent="0.4">
      <c r="U96" s="1072" t="s">
        <v>92</v>
      </c>
      <c r="V96" s="1076"/>
      <c r="W96" s="1125">
        <f>W95+W94+W93+W91</f>
        <v>10798250</v>
      </c>
      <c r="X96" s="1126">
        <f>X95+X94+X93+X91</f>
        <v>1308171.6346638016</v>
      </c>
      <c r="Y96" s="1126">
        <f>Y95+Y94+Y93+Y91</f>
        <v>900136</v>
      </c>
      <c r="Z96" s="1126">
        <f>Z95+Z94+Z93+Z91</f>
        <v>1565832</v>
      </c>
      <c r="AA96" s="1002"/>
      <c r="AB96" s="1002"/>
      <c r="AC96" s="784"/>
      <c r="AD96" s="784"/>
      <c r="AE96" s="784"/>
    </row>
    <row r="97" spans="20:31" ht="18.600000000000001" thickBot="1" x14ac:dyDescent="0.4">
      <c r="U97" s="1100" t="s">
        <v>1229</v>
      </c>
      <c r="V97" s="1122"/>
      <c r="W97" s="1107">
        <f>'FY27 Financial Forecast'!I71</f>
        <v>432000</v>
      </c>
      <c r="X97" s="1124">
        <f>(30*30*2)*254</f>
        <v>457200</v>
      </c>
      <c r="Y97" s="1108">
        <v>25000</v>
      </c>
      <c r="Z97" s="1123"/>
      <c r="AA97" s="1045"/>
      <c r="AB97" s="1045"/>
      <c r="AC97" s="1046"/>
      <c r="AD97" s="1046"/>
      <c r="AE97" s="1049"/>
    </row>
    <row r="98" spans="20:31" ht="18.600000000000001" thickBot="1" x14ac:dyDescent="0.4">
      <c r="U98" s="1100" t="s">
        <v>518</v>
      </c>
      <c r="V98" s="1106"/>
      <c r="W98" s="1109">
        <f>W96+W97</f>
        <v>11230250</v>
      </c>
      <c r="X98" s="1106"/>
      <c r="Y98" s="1106"/>
      <c r="Z98" s="1106"/>
      <c r="AA98" s="1046"/>
      <c r="AB98" s="1046"/>
      <c r="AC98" s="1046"/>
      <c r="AD98" s="1046"/>
      <c r="AE98" s="1049"/>
    </row>
    <row r="99" spans="20:31" ht="18.600000000000001" thickBot="1" x14ac:dyDescent="0.4">
      <c r="T99" s="1110"/>
      <c r="U99" s="667" t="s">
        <v>1227</v>
      </c>
      <c r="V99" s="1073">
        <f>V91+V93</f>
        <v>90425</v>
      </c>
      <c r="W99" s="1073">
        <f>W91+W93</f>
        <v>9163925</v>
      </c>
      <c r="X99" s="1073">
        <f>X91+X93</f>
        <v>1177425.6346638016</v>
      </c>
      <c r="Y99" s="1073">
        <f>Y91+Y93</f>
        <v>846435</v>
      </c>
      <c r="Z99" s="1073">
        <f>Z91+Z93</f>
        <v>1189925</v>
      </c>
      <c r="AA99" s="1047"/>
      <c r="AB99" s="1047"/>
      <c r="AC99" s="1047"/>
      <c r="AD99" s="1002"/>
      <c r="AE99" s="784"/>
    </row>
    <row r="100" spans="20:31" ht="18.600000000000001" thickBot="1" x14ac:dyDescent="0.4">
      <c r="T100" s="1110"/>
      <c r="U100" s="670" t="s">
        <v>1228</v>
      </c>
      <c r="V100" s="1074">
        <f>V94+V95</f>
        <v>9339</v>
      </c>
      <c r="W100" s="1074">
        <f>W94+W95+W97</f>
        <v>2066325</v>
      </c>
      <c r="X100" s="1074">
        <f>X94+X95+X97</f>
        <v>587946</v>
      </c>
      <c r="Y100" s="1074">
        <f>Y94+Y95+Y97</f>
        <v>78701</v>
      </c>
      <c r="Z100" s="1074">
        <f>Z94+Z95+Z97</f>
        <v>375907</v>
      </c>
      <c r="AA100" s="1002"/>
      <c r="AB100" s="1002"/>
      <c r="AC100" s="1050"/>
      <c r="AD100" s="1002"/>
      <c r="AE100" s="784"/>
    </row>
    <row r="101" spans="20:31" ht="18.600000000000001" thickBot="1" x14ac:dyDescent="0.4">
      <c r="U101" s="670" t="s">
        <v>1241</v>
      </c>
      <c r="V101" s="1075">
        <f>V99+V100</f>
        <v>99764</v>
      </c>
      <c r="W101" s="1075">
        <f>W99+W100</f>
        <v>11230250</v>
      </c>
      <c r="X101" s="1075">
        <f>X99+X100</f>
        <v>1765371.6346638016</v>
      </c>
      <c r="Y101" s="1075">
        <f>Y99+Y100</f>
        <v>925136</v>
      </c>
      <c r="Z101" s="1075">
        <f>Z99+Z100</f>
        <v>1565832</v>
      </c>
      <c r="AA101" s="1047"/>
      <c r="AB101" s="1047"/>
      <c r="AC101" s="1041"/>
      <c r="AD101" s="1002"/>
      <c r="AE101" s="784"/>
    </row>
    <row r="102" spans="20:31" x14ac:dyDescent="0.35">
      <c r="AA102" s="784"/>
      <c r="AB102" s="784"/>
      <c r="AC102" s="784"/>
      <c r="AD102" s="784"/>
      <c r="AE102" s="784"/>
    </row>
    <row r="103" spans="20:31" x14ac:dyDescent="0.35">
      <c r="AA103" s="784"/>
      <c r="AB103" s="784"/>
    </row>
    <row r="104" spans="20:31" x14ac:dyDescent="0.35">
      <c r="AA104" s="784"/>
      <c r="AB104" s="784"/>
    </row>
    <row r="105" spans="20:31" x14ac:dyDescent="0.35">
      <c r="AA105" s="784"/>
      <c r="AB105" s="784"/>
    </row>
    <row r="106" spans="20:31" x14ac:dyDescent="0.35">
      <c r="AA106" s="784"/>
      <c r="AB106" s="784"/>
    </row>
  </sheetData>
  <mergeCells count="4">
    <mergeCell ref="U60:W60"/>
    <mergeCell ref="U92:Z92"/>
    <mergeCell ref="U35:W35"/>
    <mergeCell ref="U48:W4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6767F-D870-4427-8769-652756AA1471}">
  <dimension ref="B3:F31"/>
  <sheetViews>
    <sheetView workbookViewId="0">
      <selection activeCell="B1" sqref="B1"/>
    </sheetView>
  </sheetViews>
  <sheetFormatPr defaultRowHeight="14.4" x14ac:dyDescent="0.3"/>
  <cols>
    <col min="2" max="2" width="55" customWidth="1"/>
  </cols>
  <sheetData>
    <row r="3" spans="2:6" x14ac:dyDescent="0.3">
      <c r="B3" s="1053" t="s">
        <v>1194</v>
      </c>
      <c r="C3" s="853"/>
      <c r="D3" s="853"/>
      <c r="E3" s="853"/>
      <c r="F3" s="1055"/>
    </row>
    <row r="4" spans="2:6" x14ac:dyDescent="0.3">
      <c r="B4" s="853"/>
      <c r="C4" s="853"/>
      <c r="D4" s="853"/>
      <c r="E4" s="853" t="s">
        <v>399</v>
      </c>
      <c r="F4" s="1055"/>
    </row>
    <row r="5" spans="2:6" x14ac:dyDescent="0.3">
      <c r="B5" s="1053" t="s">
        <v>307</v>
      </c>
      <c r="C5" s="853" t="s">
        <v>397</v>
      </c>
      <c r="D5" s="853" t="s">
        <v>398</v>
      </c>
      <c r="E5" s="853" t="s">
        <v>398</v>
      </c>
      <c r="F5" s="1055"/>
    </row>
    <row r="6" spans="2:6" x14ac:dyDescent="0.3">
      <c r="B6" s="853" t="s">
        <v>392</v>
      </c>
      <c r="C6" s="853">
        <v>2</v>
      </c>
      <c r="D6" s="853">
        <v>1.5</v>
      </c>
      <c r="E6" s="853">
        <v>1</v>
      </c>
      <c r="F6" s="1055"/>
    </row>
    <row r="7" spans="2:6" ht="15" thickBot="1" x14ac:dyDescent="0.35">
      <c r="B7" s="853" t="s">
        <v>394</v>
      </c>
      <c r="C7" s="853">
        <v>3</v>
      </c>
      <c r="D7" s="853">
        <v>3</v>
      </c>
      <c r="E7" s="853">
        <v>3</v>
      </c>
      <c r="F7" s="1055"/>
    </row>
    <row r="8" spans="2:6" x14ac:dyDescent="0.3">
      <c r="B8" s="853" t="s">
        <v>393</v>
      </c>
      <c r="C8" s="853">
        <v>1</v>
      </c>
      <c r="D8" s="853">
        <v>1</v>
      </c>
      <c r="E8" s="1172">
        <v>2</v>
      </c>
      <c r="F8" s="1055"/>
    </row>
    <row r="9" spans="2:6" ht="15" thickBot="1" x14ac:dyDescent="0.35">
      <c r="B9" s="853" t="s">
        <v>395</v>
      </c>
      <c r="C9" s="853">
        <v>1</v>
      </c>
      <c r="D9" s="853">
        <v>1</v>
      </c>
      <c r="E9" s="1173"/>
      <c r="F9" s="1055"/>
    </row>
    <row r="10" spans="2:6" x14ac:dyDescent="0.3">
      <c r="B10" s="853" t="s">
        <v>396</v>
      </c>
      <c r="C10" s="853">
        <v>2</v>
      </c>
      <c r="D10" s="853">
        <v>1.5</v>
      </c>
      <c r="E10" s="853">
        <v>1</v>
      </c>
      <c r="F10" s="1055"/>
    </row>
    <row r="11" spans="2:6" x14ac:dyDescent="0.3">
      <c r="B11" s="853" t="s">
        <v>425</v>
      </c>
      <c r="C11" s="853">
        <v>1</v>
      </c>
      <c r="D11" s="853">
        <v>1</v>
      </c>
      <c r="E11" s="853">
        <v>1</v>
      </c>
      <c r="F11" s="1055"/>
    </row>
    <row r="12" spans="2:6" ht="15" thickBot="1" x14ac:dyDescent="0.35">
      <c r="B12" s="1054" t="s">
        <v>92</v>
      </c>
      <c r="C12" s="1054">
        <f>SUM(C6:C11)</f>
        <v>10</v>
      </c>
      <c r="D12" s="1054">
        <f>SUM(D6:D11)</f>
        <v>9</v>
      </c>
      <c r="E12" s="1054">
        <f>SUM(E6:E11)</f>
        <v>8</v>
      </c>
      <c r="F12" s="1055"/>
    </row>
    <row r="13" spans="2:6" x14ac:dyDescent="0.3">
      <c r="B13" s="853"/>
      <c r="C13" s="853"/>
      <c r="D13" s="853"/>
      <c r="E13" s="853"/>
      <c r="F13" s="1055"/>
    </row>
    <row r="14" spans="2:6" x14ac:dyDescent="0.3">
      <c r="B14" s="853"/>
      <c r="C14" s="853"/>
      <c r="D14" s="853"/>
      <c r="E14" s="853" t="s">
        <v>399</v>
      </c>
      <c r="F14" s="1055"/>
    </row>
    <row r="15" spans="2:6" x14ac:dyDescent="0.3">
      <c r="B15" s="1053" t="s">
        <v>308</v>
      </c>
      <c r="C15" s="853" t="s">
        <v>397</v>
      </c>
      <c r="D15" s="853" t="s">
        <v>398</v>
      </c>
      <c r="E15" s="853" t="s">
        <v>398</v>
      </c>
      <c r="F15" s="1055"/>
    </row>
    <row r="16" spans="2:6" x14ac:dyDescent="0.3">
      <c r="B16" s="853" t="s">
        <v>392</v>
      </c>
      <c r="C16" s="853">
        <v>2</v>
      </c>
      <c r="D16" s="853">
        <v>2</v>
      </c>
      <c r="E16" s="853">
        <v>1</v>
      </c>
      <c r="F16" s="1055"/>
    </row>
    <row r="17" spans="2:6" ht="15" thickBot="1" x14ac:dyDescent="0.35">
      <c r="B17" s="853" t="s">
        <v>394</v>
      </c>
      <c r="C17" s="853">
        <v>4</v>
      </c>
      <c r="D17" s="853">
        <v>3</v>
      </c>
      <c r="E17" s="853">
        <v>3</v>
      </c>
      <c r="F17" s="1055"/>
    </row>
    <row r="18" spans="2:6" x14ac:dyDescent="0.3">
      <c r="B18" s="853" t="s">
        <v>393</v>
      </c>
      <c r="C18" s="853">
        <v>1</v>
      </c>
      <c r="D18" s="853">
        <v>1</v>
      </c>
      <c r="E18" s="1172">
        <v>2</v>
      </c>
      <c r="F18" s="1055"/>
    </row>
    <row r="19" spans="2:6" ht="15" thickBot="1" x14ac:dyDescent="0.35">
      <c r="B19" s="853" t="s">
        <v>395</v>
      </c>
      <c r="C19" s="853">
        <v>1</v>
      </c>
      <c r="D19" s="853">
        <v>1</v>
      </c>
      <c r="E19" s="1173"/>
      <c r="F19" s="1055"/>
    </row>
    <row r="20" spans="2:6" x14ac:dyDescent="0.3">
      <c r="B20" s="853" t="s">
        <v>396</v>
      </c>
      <c r="C20" s="853">
        <v>2</v>
      </c>
      <c r="D20" s="853">
        <v>2</v>
      </c>
      <c r="E20" s="853">
        <v>1</v>
      </c>
      <c r="F20" s="1055"/>
    </row>
    <row r="21" spans="2:6" x14ac:dyDescent="0.3">
      <c r="B21" s="853" t="s">
        <v>425</v>
      </c>
      <c r="C21" s="853">
        <v>1</v>
      </c>
      <c r="D21" s="853">
        <v>1</v>
      </c>
      <c r="E21" s="853">
        <v>1</v>
      </c>
      <c r="F21" s="1055"/>
    </row>
    <row r="22" spans="2:6" ht="15" thickBot="1" x14ac:dyDescent="0.35">
      <c r="B22" s="1054" t="s">
        <v>92</v>
      </c>
      <c r="C22" s="1054">
        <f>SUM(C16:C21)</f>
        <v>11</v>
      </c>
      <c r="D22" s="1054">
        <f>SUM(D16:D21)</f>
        <v>10</v>
      </c>
      <c r="E22" s="1054">
        <f>SUM(E16:E21)</f>
        <v>8</v>
      </c>
      <c r="F22" s="1055"/>
    </row>
    <row r="23" spans="2:6" x14ac:dyDescent="0.3">
      <c r="B23" s="853"/>
      <c r="C23" s="853"/>
      <c r="D23" s="853"/>
      <c r="E23" s="853"/>
      <c r="F23" s="1055"/>
    </row>
    <row r="24" spans="2:6" x14ac:dyDescent="0.3">
      <c r="B24" s="1053" t="s">
        <v>309</v>
      </c>
      <c r="C24" s="853" t="s">
        <v>397</v>
      </c>
      <c r="D24" s="853" t="s">
        <v>398</v>
      </c>
      <c r="E24" s="853" t="s">
        <v>398</v>
      </c>
      <c r="F24" s="1055"/>
    </row>
    <row r="25" spans="2:6" x14ac:dyDescent="0.3">
      <c r="B25" s="853" t="s">
        <v>392</v>
      </c>
      <c r="C25" s="853">
        <v>2</v>
      </c>
      <c r="D25" s="853">
        <v>2</v>
      </c>
      <c r="E25" s="853">
        <v>1</v>
      </c>
      <c r="F25" s="1055"/>
    </row>
    <row r="26" spans="2:6" ht="15" thickBot="1" x14ac:dyDescent="0.35">
      <c r="B26" s="853" t="s">
        <v>394</v>
      </c>
      <c r="C26" s="853">
        <v>4</v>
      </c>
      <c r="D26" s="853">
        <v>3</v>
      </c>
      <c r="E26" s="853">
        <v>3</v>
      </c>
      <c r="F26" s="1055"/>
    </row>
    <row r="27" spans="2:6" x14ac:dyDescent="0.3">
      <c r="B27" s="853" t="s">
        <v>393</v>
      </c>
      <c r="C27" s="853">
        <v>1</v>
      </c>
      <c r="D27" s="853">
        <v>1</v>
      </c>
      <c r="E27" s="1172">
        <v>2</v>
      </c>
      <c r="F27" s="1055"/>
    </row>
    <row r="28" spans="2:6" ht="15" thickBot="1" x14ac:dyDescent="0.35">
      <c r="B28" s="853" t="s">
        <v>395</v>
      </c>
      <c r="C28" s="853">
        <v>1</v>
      </c>
      <c r="D28" s="853">
        <v>1</v>
      </c>
      <c r="E28" s="1173"/>
      <c r="F28" s="1055"/>
    </row>
    <row r="29" spans="2:6" x14ac:dyDescent="0.3">
      <c r="B29" s="853" t="s">
        <v>396</v>
      </c>
      <c r="C29" s="853">
        <v>2</v>
      </c>
      <c r="D29" s="853">
        <v>2</v>
      </c>
      <c r="E29" s="853">
        <v>1</v>
      </c>
      <c r="F29" s="1055"/>
    </row>
    <row r="30" spans="2:6" x14ac:dyDescent="0.3">
      <c r="B30" s="853" t="s">
        <v>425</v>
      </c>
      <c r="C30" s="853">
        <v>1</v>
      </c>
      <c r="D30" s="853">
        <v>1</v>
      </c>
      <c r="E30" s="853">
        <v>1</v>
      </c>
      <c r="F30" s="1055"/>
    </row>
    <row r="31" spans="2:6" ht="15" thickBot="1" x14ac:dyDescent="0.35">
      <c r="B31" s="1054" t="s">
        <v>92</v>
      </c>
      <c r="C31" s="1054">
        <f>SUM(C25:C30)</f>
        <v>11</v>
      </c>
      <c r="D31" s="1054">
        <f>SUM(D25:D30)</f>
        <v>10</v>
      </c>
      <c r="E31" s="1054">
        <f>SUM(E25:E30)</f>
        <v>8</v>
      </c>
      <c r="F31" s="1055"/>
    </row>
  </sheetData>
  <mergeCells count="3">
    <mergeCell ref="E8:E9"/>
    <mergeCell ref="E18:E19"/>
    <mergeCell ref="E27:E2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C5D59-E320-4E10-9B60-23B99DCA05CD}">
  <sheetPr>
    <pageSetUpPr fitToPage="1"/>
  </sheetPr>
  <dimension ref="A1:AB105"/>
  <sheetViews>
    <sheetView tabSelected="1" zoomScale="59" zoomScaleNormal="59" workbookViewId="0">
      <selection activeCell="I34" sqref="I34"/>
    </sheetView>
  </sheetViews>
  <sheetFormatPr defaultRowHeight="14.4" x14ac:dyDescent="0.3"/>
  <cols>
    <col min="1" max="1" width="4.21875" style="780" customWidth="1"/>
    <col min="2" max="2" width="12.77734375" style="780" customWidth="1"/>
    <col min="3" max="3" width="60.6640625" customWidth="1"/>
    <col min="4" max="4" width="12.33203125" customWidth="1"/>
    <col min="5" max="5" width="13.6640625" style="2" customWidth="1"/>
    <col min="6" max="6" width="4.6640625" style="1" customWidth="1"/>
    <col min="7" max="7" width="25.21875" customWidth="1"/>
    <col min="8" max="8" width="2.5546875" customWidth="1"/>
    <col min="9" max="11" width="22.44140625" style="1" customWidth="1"/>
    <col min="12" max="14" width="22.44140625" customWidth="1"/>
    <col min="15" max="15" width="10.44140625" customWidth="1"/>
    <col min="16" max="17" width="18.5546875" customWidth="1"/>
    <col min="18" max="18" width="24.109375" customWidth="1"/>
  </cols>
  <sheetData>
    <row r="1" spans="1:28" ht="92.4" customHeight="1" x14ac:dyDescent="1.1000000000000001">
      <c r="A1" s="864"/>
      <c r="B1" s="864"/>
      <c r="C1" s="949" t="s">
        <v>1158</v>
      </c>
      <c r="D1" s="116"/>
      <c r="E1" s="7"/>
      <c r="F1" s="10"/>
      <c r="G1" s="116"/>
      <c r="H1" s="116"/>
      <c r="I1" s="10"/>
      <c r="J1" s="10"/>
      <c r="K1" s="10"/>
      <c r="L1" s="116"/>
      <c r="M1" s="116"/>
      <c r="N1" s="116"/>
    </row>
    <row r="2" spans="1:28" ht="33.6" x14ac:dyDescent="0.65">
      <c r="A2" s="867"/>
      <c r="B2" s="867"/>
      <c r="C2" s="955" t="s">
        <v>1206</v>
      </c>
      <c r="D2" s="869"/>
      <c r="E2" s="866"/>
      <c r="F2" s="10"/>
      <c r="G2" s="116"/>
      <c r="H2" s="116"/>
      <c r="I2" s="10"/>
      <c r="J2" s="10"/>
      <c r="K2" s="10"/>
      <c r="L2" s="116"/>
      <c r="M2" s="116"/>
      <c r="N2" s="116"/>
      <c r="O2" s="116"/>
      <c r="P2" s="116"/>
      <c r="Q2" s="116"/>
    </row>
    <row r="3" spans="1:28" ht="46.2" x14ac:dyDescent="0.85">
      <c r="A3" s="864"/>
      <c r="B3" s="864"/>
      <c r="C3" s="868" t="s">
        <v>505</v>
      </c>
      <c r="D3" s="870"/>
      <c r="E3" s="866"/>
      <c r="F3" s="10"/>
      <c r="G3" s="116"/>
      <c r="H3" s="116"/>
      <c r="I3" s="10"/>
      <c r="J3" s="10"/>
      <c r="K3" s="10"/>
      <c r="L3" s="116"/>
      <c r="M3" s="116"/>
      <c r="N3" s="116"/>
      <c r="O3" s="116"/>
      <c r="P3" s="952" t="s">
        <v>1198</v>
      </c>
      <c r="Q3" s="953"/>
      <c r="R3" s="953"/>
      <c r="S3" s="953"/>
      <c r="T3" s="953"/>
      <c r="U3" s="953"/>
      <c r="V3" s="953"/>
      <c r="W3" s="953"/>
      <c r="X3" s="953"/>
      <c r="Y3" s="953"/>
      <c r="Z3" s="953"/>
      <c r="AA3" s="953"/>
      <c r="AB3" s="953"/>
    </row>
    <row r="4" spans="1:28" ht="21" x14ac:dyDescent="0.4">
      <c r="A4" s="864"/>
      <c r="B4" s="864"/>
      <c r="C4" s="617"/>
      <c r="D4" s="617"/>
      <c r="E4" s="866"/>
      <c r="F4" s="10"/>
      <c r="G4" s="116"/>
      <c r="H4" s="116"/>
      <c r="I4" s="10"/>
      <c r="J4" s="10"/>
      <c r="K4" s="10"/>
      <c r="L4" s="116"/>
      <c r="M4" s="116"/>
      <c r="N4" s="116"/>
      <c r="O4" s="116"/>
      <c r="P4" s="116"/>
      <c r="Q4" s="116"/>
    </row>
    <row r="5" spans="1:28" hidden="1" x14ac:dyDescent="0.3">
      <c r="A5" s="864"/>
      <c r="B5" s="864"/>
      <c r="O5" s="116"/>
      <c r="P5" s="116"/>
      <c r="Q5" s="116"/>
    </row>
    <row r="6" spans="1:28" ht="21" x14ac:dyDescent="0.4">
      <c r="A6" s="781">
        <v>34</v>
      </c>
      <c r="B6" s="864"/>
      <c r="C6" s="874" t="s">
        <v>500</v>
      </c>
      <c r="D6" s="875"/>
      <c r="E6" s="876"/>
      <c r="F6" s="876"/>
      <c r="G6" s="877"/>
      <c r="H6" s="878"/>
      <c r="I6" s="879" t="s">
        <v>284</v>
      </c>
      <c r="J6" s="879" t="s">
        <v>285</v>
      </c>
      <c r="K6" s="879" t="s">
        <v>286</v>
      </c>
      <c r="L6" s="879" t="s">
        <v>287</v>
      </c>
      <c r="M6" s="879" t="s">
        <v>288</v>
      </c>
      <c r="N6" s="880" t="s">
        <v>92</v>
      </c>
      <c r="O6" s="116"/>
      <c r="P6" s="116"/>
      <c r="Q6" s="116"/>
    </row>
    <row r="7" spans="1:28" ht="21" x14ac:dyDescent="0.4">
      <c r="A7" s="781">
        <v>35</v>
      </c>
      <c r="B7" s="864"/>
      <c r="C7" s="881" t="s">
        <v>247</v>
      </c>
      <c r="D7" s="617"/>
      <c r="E7" s="618"/>
      <c r="F7" s="618"/>
      <c r="G7" s="871"/>
      <c r="H7" s="619"/>
      <c r="I7" s="620">
        <f>500000*0.7</f>
        <v>350000</v>
      </c>
      <c r="J7" s="620">
        <f>500000*0.7</f>
        <v>350000</v>
      </c>
      <c r="K7" s="620">
        <f>500000*0.7</f>
        <v>350000</v>
      </c>
      <c r="L7" s="620">
        <f>500000*0.7</f>
        <v>350000</v>
      </c>
      <c r="M7" s="620">
        <f>500000*0.7</f>
        <v>350000</v>
      </c>
      <c r="N7" s="882">
        <f>SUM(I7:M7)</f>
        <v>1750000</v>
      </c>
      <c r="O7" s="116"/>
      <c r="P7" s="116"/>
      <c r="Q7" s="116"/>
    </row>
    <row r="8" spans="1:28" ht="21" x14ac:dyDescent="0.4">
      <c r="A8" s="781">
        <v>37</v>
      </c>
      <c r="B8" s="864"/>
      <c r="C8" s="881" t="s">
        <v>248</v>
      </c>
      <c r="D8" s="617"/>
      <c r="E8" s="618"/>
      <c r="F8" s="618"/>
      <c r="G8" s="627"/>
      <c r="H8" s="627"/>
      <c r="I8" s="841"/>
      <c r="J8" s="841"/>
      <c r="K8" s="841"/>
      <c r="L8" s="841"/>
      <c r="M8" s="841"/>
      <c r="N8" s="1060"/>
      <c r="O8" s="116"/>
      <c r="P8" s="116"/>
      <c r="Q8" s="116"/>
    </row>
    <row r="9" spans="1:28" ht="21" x14ac:dyDescent="0.4">
      <c r="A9" s="781">
        <v>41</v>
      </c>
      <c r="B9" s="864"/>
      <c r="C9" s="881" t="s">
        <v>508</v>
      </c>
      <c r="D9" s="617"/>
      <c r="E9" s="618"/>
      <c r="F9" s="618"/>
      <c r="G9" s="627"/>
      <c r="H9" s="627"/>
      <c r="I9" s="628">
        <f>'FTA FY27 Sub Allocation Exampl '!J32</f>
        <v>1322920.9688863645</v>
      </c>
      <c r="J9" s="628">
        <f>I9*1.01</f>
        <v>1336150.1785752282</v>
      </c>
      <c r="K9" s="628">
        <f>J9*1.01</f>
        <v>1349511.6803609806</v>
      </c>
      <c r="L9" s="628">
        <f>K9*1.01</f>
        <v>1363006.7971645903</v>
      </c>
      <c r="M9" s="628">
        <f>L9*1.01</f>
        <v>1376636.8651362362</v>
      </c>
      <c r="N9" s="1061">
        <f>SUM(I9:M9)</f>
        <v>6748226.4901233995</v>
      </c>
      <c r="O9" s="116"/>
      <c r="P9" s="116"/>
      <c r="Q9" s="116"/>
    </row>
    <row r="10" spans="1:28" ht="21" hidden="1" x14ac:dyDescent="0.4">
      <c r="A10" s="781">
        <v>42</v>
      </c>
      <c r="B10" s="864"/>
      <c r="C10" s="884" t="s">
        <v>429</v>
      </c>
      <c r="D10" s="872"/>
      <c r="E10" s="629"/>
      <c r="F10" s="629"/>
      <c r="G10" s="630"/>
      <c r="H10" s="630"/>
      <c r="I10" s="631">
        <v>0</v>
      </c>
      <c r="J10" s="631">
        <v>0</v>
      </c>
      <c r="K10" s="631">
        <v>0</v>
      </c>
      <c r="L10" s="631">
        <v>0</v>
      </c>
      <c r="M10" s="631">
        <v>0</v>
      </c>
      <c r="N10" s="1062">
        <f>SUM(I10:M10)</f>
        <v>0</v>
      </c>
      <c r="O10" s="116"/>
      <c r="P10" s="116"/>
      <c r="Q10" s="116"/>
    </row>
    <row r="11" spans="1:28" ht="21" hidden="1" x14ac:dyDescent="0.4">
      <c r="A11" s="781">
        <v>43</v>
      </c>
      <c r="B11" s="864"/>
      <c r="C11" s="881" t="s">
        <v>509</v>
      </c>
      <c r="D11" s="617"/>
      <c r="E11" s="618"/>
      <c r="F11" s="618"/>
      <c r="G11" s="627"/>
      <c r="H11" s="627"/>
      <c r="I11" s="628"/>
      <c r="J11" s="628"/>
      <c r="K11" s="628"/>
      <c r="L11" s="628"/>
      <c r="M11" s="628"/>
      <c r="N11" s="1061">
        <f>SUM(I11:M11)</f>
        <v>0</v>
      </c>
      <c r="O11" s="116"/>
      <c r="P11" s="116"/>
      <c r="Q11" s="116"/>
    </row>
    <row r="12" spans="1:28" ht="21" hidden="1" x14ac:dyDescent="0.4">
      <c r="A12" s="781">
        <v>44</v>
      </c>
      <c r="B12" s="864"/>
      <c r="C12" s="881" t="s">
        <v>432</v>
      </c>
      <c r="D12" s="617"/>
      <c r="E12" s="618"/>
      <c r="F12" s="618"/>
      <c r="G12" s="627"/>
      <c r="H12" s="627"/>
      <c r="I12" s="628"/>
      <c r="J12" s="628"/>
      <c r="K12" s="628"/>
      <c r="L12" s="628"/>
      <c r="M12" s="628"/>
      <c r="N12" s="1060"/>
      <c r="O12" s="116"/>
      <c r="P12" s="116"/>
      <c r="Q12" s="116"/>
    </row>
    <row r="13" spans="1:28" ht="21" hidden="1" x14ac:dyDescent="0.4">
      <c r="A13" s="781">
        <v>45</v>
      </c>
      <c r="B13" s="864"/>
      <c r="C13" s="884" t="s">
        <v>510</v>
      </c>
      <c r="D13" s="872"/>
      <c r="E13" s="629"/>
      <c r="F13" s="629"/>
      <c r="G13" s="630"/>
      <c r="H13" s="630"/>
      <c r="I13" s="631"/>
      <c r="J13" s="631"/>
      <c r="K13" s="631"/>
      <c r="L13" s="631"/>
      <c r="M13" s="631"/>
      <c r="N13" s="1062">
        <f t="shared" ref="N13:N18" si="0">SUM(I13:M13)</f>
        <v>0</v>
      </c>
      <c r="O13" s="116"/>
      <c r="P13" s="116"/>
      <c r="Q13" s="116"/>
    </row>
    <row r="14" spans="1:28" ht="21" x14ac:dyDescent="0.4">
      <c r="A14" s="781" t="s">
        <v>489</v>
      </c>
      <c r="B14" s="864"/>
      <c r="C14" s="881" t="s">
        <v>490</v>
      </c>
      <c r="D14" s="617"/>
      <c r="E14" s="618"/>
      <c r="F14" s="618"/>
      <c r="G14" s="627"/>
      <c r="H14" s="627"/>
      <c r="I14" s="733">
        <v>1338438</v>
      </c>
      <c r="J14" s="628">
        <f>I14*1.015</f>
        <v>1358514.5699999998</v>
      </c>
      <c r="K14" s="628">
        <f t="shared" ref="K14:M15" si="1">J14*1.015</f>
        <v>1378892.2885499997</v>
      </c>
      <c r="L14" s="628">
        <f t="shared" si="1"/>
        <v>1399575.6728782495</v>
      </c>
      <c r="M14" s="628">
        <f t="shared" si="1"/>
        <v>1420569.3079714233</v>
      </c>
      <c r="N14" s="1061">
        <f t="shared" si="0"/>
        <v>6895989.839399673</v>
      </c>
      <c r="O14" s="116"/>
      <c r="P14" s="116"/>
      <c r="Q14" s="116"/>
    </row>
    <row r="15" spans="1:28" ht="21" x14ac:dyDescent="0.4">
      <c r="A15" s="781"/>
      <c r="B15" s="864"/>
      <c r="C15" s="881" t="s">
        <v>491</v>
      </c>
      <c r="D15" s="617"/>
      <c r="E15" s="618"/>
      <c r="F15" s="618"/>
      <c r="G15" s="627"/>
      <c r="H15" s="627"/>
      <c r="I15" s="628">
        <f>1363577*('FTA FY27 Sub Allocation Exampl '!I22)</f>
        <v>900611.55154745455</v>
      </c>
      <c r="J15" s="628">
        <f>I15*1.015</f>
        <v>914120.72482066625</v>
      </c>
      <c r="K15" s="628">
        <f t="shared" si="1"/>
        <v>927832.53569297621</v>
      </c>
      <c r="L15" s="628">
        <f t="shared" si="1"/>
        <v>941750.02372837078</v>
      </c>
      <c r="M15" s="628">
        <f t="shared" si="1"/>
        <v>955876.27408429631</v>
      </c>
      <c r="N15" s="1061">
        <f t="shared" si="0"/>
        <v>4640191.1098737642</v>
      </c>
      <c r="O15" s="116"/>
      <c r="P15" s="116"/>
      <c r="Q15" s="116"/>
    </row>
    <row r="16" spans="1:28" ht="21" hidden="1" x14ac:dyDescent="0.4">
      <c r="A16" s="781"/>
      <c r="B16" s="864"/>
      <c r="C16" s="884" t="s">
        <v>250</v>
      </c>
      <c r="D16" s="872"/>
      <c r="E16" s="629"/>
      <c r="F16" s="629"/>
      <c r="G16" s="630"/>
      <c r="H16" s="630"/>
      <c r="I16" s="631"/>
      <c r="J16" s="631"/>
      <c r="K16" s="631"/>
      <c r="L16" s="631"/>
      <c r="M16" s="631"/>
      <c r="N16" s="1062">
        <f t="shared" si="0"/>
        <v>0</v>
      </c>
      <c r="O16" s="116"/>
      <c r="P16" s="116"/>
      <c r="Q16" s="116"/>
    </row>
    <row r="17" spans="1:17" ht="21" x14ac:dyDescent="0.4">
      <c r="A17" s="781"/>
      <c r="B17" s="864"/>
      <c r="C17" s="881" t="s">
        <v>251</v>
      </c>
      <c r="D17" s="617"/>
      <c r="E17" s="618"/>
      <c r="F17" s="618"/>
      <c r="G17" s="627"/>
      <c r="H17" s="627"/>
      <c r="I17" s="628">
        <v>1150000</v>
      </c>
      <c r="J17" s="628">
        <v>1150000</v>
      </c>
      <c r="K17" s="628">
        <v>1200000</v>
      </c>
      <c r="L17" s="628">
        <v>1400000</v>
      </c>
      <c r="M17" s="628">
        <v>1560000</v>
      </c>
      <c r="N17" s="1061">
        <f t="shared" si="0"/>
        <v>6460000</v>
      </c>
      <c r="O17" s="116"/>
      <c r="P17" s="116"/>
      <c r="Q17" s="116"/>
    </row>
    <row r="18" spans="1:17" ht="21" x14ac:dyDescent="0.4">
      <c r="A18" s="781"/>
      <c r="B18" s="864"/>
      <c r="C18" s="881" t="s">
        <v>252</v>
      </c>
      <c r="D18" s="617"/>
      <c r="E18" s="618"/>
      <c r="F18" s="618"/>
      <c r="G18" s="627"/>
      <c r="H18" s="627"/>
      <c r="I18" s="628">
        <v>400000</v>
      </c>
      <c r="J18" s="628">
        <v>400000</v>
      </c>
      <c r="K18" s="628">
        <v>400000</v>
      </c>
      <c r="L18" s="628">
        <v>400000</v>
      </c>
      <c r="M18" s="628">
        <v>400000</v>
      </c>
      <c r="N18" s="1061">
        <f t="shared" si="0"/>
        <v>2000000</v>
      </c>
      <c r="O18" s="116"/>
      <c r="P18" s="116"/>
      <c r="Q18" s="116"/>
    </row>
    <row r="19" spans="1:17" ht="21" x14ac:dyDescent="0.4">
      <c r="A19" s="781"/>
      <c r="B19" s="864"/>
      <c r="C19" s="881" t="s">
        <v>253</v>
      </c>
      <c r="D19" s="617"/>
      <c r="E19" s="618"/>
      <c r="F19" s="618"/>
      <c r="G19" s="627"/>
      <c r="H19" s="627"/>
      <c r="I19" s="628"/>
      <c r="J19" s="628"/>
      <c r="K19" s="628"/>
      <c r="L19" s="628"/>
      <c r="M19" s="628"/>
      <c r="N19" s="1061"/>
      <c r="O19" s="116"/>
      <c r="P19" s="116"/>
      <c r="Q19" s="116"/>
    </row>
    <row r="20" spans="1:17" ht="21" x14ac:dyDescent="0.4">
      <c r="A20" s="781"/>
      <c r="B20" s="864"/>
      <c r="C20" s="881" t="s">
        <v>493</v>
      </c>
      <c r="D20" s="617"/>
      <c r="E20" s="618"/>
      <c r="F20" s="618"/>
      <c r="G20" s="627"/>
      <c r="H20" s="627"/>
      <c r="I20" s="628">
        <v>350000</v>
      </c>
      <c r="J20" s="628">
        <v>350000</v>
      </c>
      <c r="K20" s="628">
        <v>350000</v>
      </c>
      <c r="L20" s="628">
        <v>350000</v>
      </c>
      <c r="M20" s="628">
        <v>350000</v>
      </c>
      <c r="N20" s="1061">
        <f t="shared" ref="N20:N27" si="2">SUM(I20:M20)</f>
        <v>1750000</v>
      </c>
      <c r="O20" s="116"/>
      <c r="P20" s="116"/>
      <c r="Q20" s="116"/>
    </row>
    <row r="21" spans="1:17" ht="21" x14ac:dyDescent="0.4">
      <c r="A21" s="781"/>
      <c r="B21" s="864"/>
      <c r="C21" s="881" t="s">
        <v>494</v>
      </c>
      <c r="D21" s="617"/>
      <c r="E21" s="618"/>
      <c r="F21" s="618"/>
      <c r="G21" s="627"/>
      <c r="H21" s="627"/>
      <c r="I21" s="628">
        <v>600000</v>
      </c>
      <c r="J21" s="628">
        <v>600000</v>
      </c>
      <c r="K21" s="628">
        <v>600000</v>
      </c>
      <c r="L21" s="628">
        <v>600000</v>
      </c>
      <c r="M21" s="628">
        <v>600000</v>
      </c>
      <c r="N21" s="1061">
        <f t="shared" si="2"/>
        <v>3000000</v>
      </c>
      <c r="O21" s="116"/>
      <c r="P21" s="116"/>
      <c r="Q21" s="116"/>
    </row>
    <row r="22" spans="1:17" ht="21" x14ac:dyDescent="0.4">
      <c r="A22" s="781"/>
      <c r="B22" s="864"/>
      <c r="C22" s="881" t="s">
        <v>495</v>
      </c>
      <c r="D22" s="617"/>
      <c r="E22" s="618"/>
      <c r="F22" s="618"/>
      <c r="G22" s="627"/>
      <c r="H22" s="627"/>
      <c r="I22" s="628">
        <v>50000</v>
      </c>
      <c r="J22" s="628">
        <v>50000</v>
      </c>
      <c r="K22" s="628">
        <v>50000</v>
      </c>
      <c r="L22" s="628">
        <v>50000</v>
      </c>
      <c r="M22" s="628">
        <v>50000</v>
      </c>
      <c r="N22" s="886">
        <f t="shared" si="2"/>
        <v>250000</v>
      </c>
      <c r="O22" s="116"/>
      <c r="P22" s="116"/>
      <c r="Q22" s="116"/>
    </row>
    <row r="23" spans="1:17" ht="21" x14ac:dyDescent="0.4">
      <c r="A23" s="781"/>
      <c r="B23" s="864"/>
      <c r="C23" s="881" t="s">
        <v>496</v>
      </c>
      <c r="D23" s="617"/>
      <c r="E23" s="618"/>
      <c r="F23" s="618"/>
      <c r="G23" s="627"/>
      <c r="H23" s="627"/>
      <c r="I23" s="628">
        <v>100000</v>
      </c>
      <c r="J23" s="628">
        <v>100000</v>
      </c>
      <c r="K23" s="628">
        <v>100000</v>
      </c>
      <c r="L23" s="628">
        <v>100000</v>
      </c>
      <c r="M23" s="628">
        <v>100000</v>
      </c>
      <c r="N23" s="886">
        <f t="shared" si="2"/>
        <v>500000</v>
      </c>
      <c r="O23" s="116"/>
      <c r="P23" s="116"/>
      <c r="Q23" s="116"/>
    </row>
    <row r="24" spans="1:17" ht="21" x14ac:dyDescent="0.4">
      <c r="A24" s="781"/>
      <c r="B24" s="864"/>
      <c r="C24" s="881" t="s">
        <v>1144</v>
      </c>
      <c r="D24" s="617"/>
      <c r="E24" s="618"/>
      <c r="F24" s="618"/>
      <c r="G24" s="627"/>
      <c r="H24" s="627"/>
      <c r="I24" s="628"/>
      <c r="J24" s="628"/>
      <c r="K24" s="628"/>
      <c r="L24" s="628"/>
      <c r="M24" s="628"/>
      <c r="N24" s="886"/>
      <c r="O24" s="116"/>
      <c r="P24" s="116"/>
      <c r="Q24" s="116"/>
    </row>
    <row r="25" spans="1:17" ht="21" x14ac:dyDescent="0.4">
      <c r="A25" s="781"/>
      <c r="B25" s="864"/>
      <c r="C25" s="881" t="s">
        <v>468</v>
      </c>
      <c r="D25" s="617"/>
      <c r="E25" s="618"/>
      <c r="F25" s="618"/>
      <c r="G25" s="627"/>
      <c r="H25" s="627"/>
      <c r="I25" s="628"/>
      <c r="J25" s="628">
        <v>1700000</v>
      </c>
      <c r="K25" s="628">
        <v>2100000</v>
      </c>
      <c r="L25" s="628">
        <v>2100000</v>
      </c>
      <c r="M25" s="628">
        <v>2200000</v>
      </c>
      <c r="N25" s="1063">
        <f t="shared" si="2"/>
        <v>8100000</v>
      </c>
      <c r="O25" s="116"/>
      <c r="P25" s="116"/>
      <c r="Q25" s="116"/>
    </row>
    <row r="26" spans="1:17" ht="21" hidden="1" x14ac:dyDescent="0.4">
      <c r="A26" s="781"/>
      <c r="B26" s="864"/>
      <c r="C26" s="884" t="s">
        <v>289</v>
      </c>
      <c r="D26" s="872"/>
      <c r="E26" s="629"/>
      <c r="F26" s="629"/>
      <c r="G26" s="630"/>
      <c r="H26" s="630"/>
      <c r="I26" s="631"/>
      <c r="J26" s="631"/>
      <c r="K26" s="631"/>
      <c r="L26" s="631"/>
      <c r="M26" s="631"/>
      <c r="N26" s="1062">
        <f t="shared" si="2"/>
        <v>0</v>
      </c>
      <c r="O26" s="116"/>
      <c r="P26" s="116"/>
      <c r="Q26" s="116"/>
    </row>
    <row r="27" spans="1:17" ht="21" x14ac:dyDescent="0.4">
      <c r="A27" s="781"/>
      <c r="B27" s="864"/>
      <c r="C27" s="881" t="s">
        <v>502</v>
      </c>
      <c r="D27" s="617"/>
      <c r="E27" s="618"/>
      <c r="F27" s="618"/>
      <c r="G27" s="627"/>
      <c r="H27" s="627"/>
      <c r="I27" s="628">
        <f>1768000</f>
        <v>1768000</v>
      </c>
      <c r="J27" s="628">
        <f>400000-106820</f>
        <v>293180</v>
      </c>
      <c r="K27" s="628"/>
      <c r="L27" s="628"/>
      <c r="M27" s="628"/>
      <c r="N27" s="1061">
        <f t="shared" si="2"/>
        <v>2061180</v>
      </c>
      <c r="O27" s="116"/>
      <c r="P27" s="116"/>
      <c r="Q27" s="116"/>
    </row>
    <row r="28" spans="1:17" ht="21" x14ac:dyDescent="0.4">
      <c r="A28" s="781"/>
      <c r="B28" s="864"/>
      <c r="C28" s="881" t="s">
        <v>501</v>
      </c>
      <c r="D28" s="617"/>
      <c r="E28" s="618"/>
      <c r="F28" s="618"/>
      <c r="G28" s="627"/>
      <c r="H28" s="627"/>
      <c r="I28" s="950"/>
      <c r="J28" s="628"/>
      <c r="K28" s="628"/>
      <c r="L28" s="628"/>
      <c r="M28" s="628"/>
      <c r="N28" s="886"/>
      <c r="O28" s="116"/>
      <c r="P28" s="116"/>
      <c r="Q28" s="116"/>
    </row>
    <row r="29" spans="1:17" ht="21" x14ac:dyDescent="0.4">
      <c r="A29" s="781"/>
      <c r="B29" s="864"/>
      <c r="C29" s="881" t="s">
        <v>503</v>
      </c>
      <c r="D29" s="617"/>
      <c r="E29" s="618"/>
      <c r="F29" s="618"/>
      <c r="G29" s="627"/>
      <c r="H29" s="627"/>
      <c r="I29" s="628">
        <f>'Operating '!Z56</f>
        <v>514080</v>
      </c>
      <c r="J29" s="628">
        <f t="shared" ref="J29:M30" si="3">I29</f>
        <v>514080</v>
      </c>
      <c r="K29" s="628">
        <f t="shared" si="3"/>
        <v>514080</v>
      </c>
      <c r="L29" s="628">
        <f t="shared" si="3"/>
        <v>514080</v>
      </c>
      <c r="M29" s="628">
        <f t="shared" si="3"/>
        <v>514080</v>
      </c>
      <c r="N29" s="1061">
        <f>SUM(I29:M29)</f>
        <v>2570400</v>
      </c>
      <c r="O29" s="116"/>
      <c r="P29" s="116"/>
      <c r="Q29" s="116"/>
    </row>
    <row r="30" spans="1:17" ht="21" x14ac:dyDescent="0.4">
      <c r="A30" s="781"/>
      <c r="B30" s="864"/>
      <c r="C30" s="881" t="s">
        <v>506</v>
      </c>
      <c r="D30" s="617"/>
      <c r="E30" s="618"/>
      <c r="F30" s="618"/>
      <c r="G30" s="627"/>
      <c r="H30" s="627"/>
      <c r="I30" s="628">
        <f>'Operating '!Z90</f>
        <v>347445</v>
      </c>
      <c r="J30" s="628">
        <f t="shared" si="3"/>
        <v>347445</v>
      </c>
      <c r="K30" s="628">
        <f t="shared" si="3"/>
        <v>347445</v>
      </c>
      <c r="L30" s="628">
        <f t="shared" si="3"/>
        <v>347445</v>
      </c>
      <c r="M30" s="628">
        <f t="shared" si="3"/>
        <v>347445</v>
      </c>
      <c r="N30" s="882">
        <f>SUM(I30:M30)</f>
        <v>1737225</v>
      </c>
      <c r="O30" s="116"/>
      <c r="P30" s="116"/>
      <c r="Q30" s="116"/>
    </row>
    <row r="31" spans="1:17" ht="21" hidden="1" x14ac:dyDescent="0.4">
      <c r="A31" s="781"/>
      <c r="B31" s="864"/>
      <c r="C31" s="881"/>
      <c r="D31" s="617"/>
      <c r="E31" s="618"/>
      <c r="F31" s="618"/>
      <c r="G31" s="873"/>
      <c r="H31" s="627"/>
      <c r="I31" s="628"/>
      <c r="J31" s="628"/>
      <c r="K31" s="628"/>
      <c r="L31" s="628"/>
      <c r="M31" s="628"/>
      <c r="N31" s="883"/>
      <c r="O31" s="116"/>
      <c r="P31" s="116"/>
      <c r="Q31" s="116"/>
    </row>
    <row r="32" spans="1:17" ht="21.6" thickBot="1" x14ac:dyDescent="0.45">
      <c r="A32" s="781"/>
      <c r="B32" s="864"/>
      <c r="C32" s="888" t="s">
        <v>79</v>
      </c>
      <c r="D32" s="723"/>
      <c r="E32" s="724"/>
      <c r="F32" s="724"/>
      <c r="G32" s="725"/>
      <c r="H32" s="725"/>
      <c r="I32" s="726">
        <f>SUM(I7:I31)</f>
        <v>9191495.5204338189</v>
      </c>
      <c r="J32" s="726">
        <f>SUM(J7:J31)</f>
        <v>9463490.4733958952</v>
      </c>
      <c r="K32" s="726">
        <f>SUM(K7:K31)</f>
        <v>9667761.5046039559</v>
      </c>
      <c r="L32" s="726">
        <f>SUM(L7:L31)</f>
        <v>9915857.4937712103</v>
      </c>
      <c r="M32" s="726">
        <f>SUM(M7:M31)</f>
        <v>10224607.447191956</v>
      </c>
      <c r="N32" s="889">
        <f>SUM(I32:M32)</f>
        <v>48463212.439396828</v>
      </c>
      <c r="O32" s="116"/>
      <c r="P32" s="116"/>
      <c r="Q32" s="116"/>
    </row>
    <row r="33" spans="1:17" ht="22.2" thickTop="1" thickBot="1" x14ac:dyDescent="0.45">
      <c r="A33" s="781"/>
      <c r="B33" s="864"/>
      <c r="C33" s="890" t="s">
        <v>461</v>
      </c>
      <c r="D33" s="633"/>
      <c r="E33" s="634"/>
      <c r="F33" s="634"/>
      <c r="G33" s="635"/>
      <c r="H33" s="635"/>
      <c r="I33" s="636">
        <f>'Operating '!W33</f>
        <v>4411670</v>
      </c>
      <c r="J33" s="636">
        <f>I33*1.025</f>
        <v>4521961.75</v>
      </c>
      <c r="K33" s="635">
        <f t="shared" ref="K33:M34" si="4">J33*1.025</f>
        <v>4635010.7937499993</v>
      </c>
      <c r="L33" s="635">
        <f t="shared" si="4"/>
        <v>4750886.063593749</v>
      </c>
      <c r="M33" s="637">
        <f t="shared" si="4"/>
        <v>4869658.2151835924</v>
      </c>
      <c r="N33" s="891">
        <f>SUM(I33:M33)</f>
        <v>23189186.822527342</v>
      </c>
      <c r="O33" s="116"/>
      <c r="P33" s="116"/>
      <c r="Q33" s="116"/>
    </row>
    <row r="34" spans="1:17" ht="21.6" thickBot="1" x14ac:dyDescent="0.45">
      <c r="A34" s="781"/>
      <c r="B34" s="864"/>
      <c r="C34" s="890" t="s">
        <v>492</v>
      </c>
      <c r="D34" s="633"/>
      <c r="E34" s="634"/>
      <c r="F34" s="634"/>
      <c r="G34" s="635"/>
      <c r="H34" s="635"/>
      <c r="I34" s="636">
        <f>'Operating '!W93</f>
        <v>2873500</v>
      </c>
      <c r="J34" s="773">
        <f>I34*1.025</f>
        <v>2945337.4999999995</v>
      </c>
      <c r="K34" s="773">
        <f t="shared" si="4"/>
        <v>3018970.9374999991</v>
      </c>
      <c r="L34" s="773">
        <f t="shared" si="4"/>
        <v>3094445.2109374986</v>
      </c>
      <c r="M34" s="773">
        <f t="shared" si="4"/>
        <v>3171806.3412109357</v>
      </c>
      <c r="N34" s="891">
        <f>SUM(I34:M34)</f>
        <v>15104059.989648433</v>
      </c>
      <c r="O34" s="116"/>
      <c r="P34" s="116"/>
      <c r="Q34" s="116"/>
    </row>
    <row r="35" spans="1:17" ht="21.6" thickBot="1" x14ac:dyDescent="0.45">
      <c r="A35" s="781"/>
      <c r="B35" s="864"/>
      <c r="C35" s="892" t="s">
        <v>462</v>
      </c>
      <c r="D35" s="639"/>
      <c r="E35" s="640"/>
      <c r="F35" s="640"/>
      <c r="G35" s="641"/>
      <c r="H35" s="641"/>
      <c r="I35" s="642">
        <f>SUM(I33:I34)</f>
        <v>7285170</v>
      </c>
      <c r="J35" s="642">
        <f>SUM(J33:J34)</f>
        <v>7467299.25</v>
      </c>
      <c r="K35" s="642">
        <f>SUM(K33:K34)</f>
        <v>7653981.7312499983</v>
      </c>
      <c r="L35" s="642">
        <f>SUM(L33:L34)</f>
        <v>7845331.2745312471</v>
      </c>
      <c r="M35" s="642">
        <f>SUM(M33:M34)</f>
        <v>8041464.5563945286</v>
      </c>
      <c r="N35" s="893">
        <f>SUM(I35:M35)</f>
        <v>38293246.812175781</v>
      </c>
      <c r="O35" s="116"/>
      <c r="P35" s="116"/>
      <c r="Q35" s="116"/>
    </row>
    <row r="36" spans="1:17" ht="21" x14ac:dyDescent="0.4">
      <c r="A36" s="781"/>
      <c r="B36" s="864"/>
      <c r="C36" s="881" t="s">
        <v>404</v>
      </c>
      <c r="D36" s="617"/>
      <c r="E36" s="618"/>
      <c r="F36" s="618"/>
      <c r="G36" s="627"/>
      <c r="H36" s="627"/>
      <c r="I36" s="638">
        <f>'Operating '!W42</f>
        <v>618800</v>
      </c>
      <c r="J36" s="638">
        <f>I36*1.025</f>
        <v>634270</v>
      </c>
      <c r="K36" s="638">
        <f>J36*1.025</f>
        <v>650126.75</v>
      </c>
      <c r="L36" s="638">
        <f>K36*1.025</f>
        <v>666379.91874999995</v>
      </c>
      <c r="M36" s="638">
        <f>L36*1.025</f>
        <v>683039.41671874991</v>
      </c>
      <c r="N36" s="894">
        <f>SUM(I36:M36)</f>
        <v>3252616.08546875</v>
      </c>
      <c r="O36" s="116"/>
      <c r="P36" s="116"/>
      <c r="Q36" s="116"/>
    </row>
    <row r="37" spans="1:17" ht="21.6" thickBot="1" x14ac:dyDescent="0.45">
      <c r="A37" s="781"/>
      <c r="B37" s="864"/>
      <c r="C37" s="892" t="s">
        <v>408</v>
      </c>
      <c r="D37" s="639"/>
      <c r="E37" s="640"/>
      <c r="F37" s="640"/>
      <c r="G37" s="641"/>
      <c r="H37" s="641"/>
      <c r="I37" s="642">
        <f t="shared" ref="I37:N41" si="5">I35+I36</f>
        <v>7903970</v>
      </c>
      <c r="J37" s="642">
        <f t="shared" si="5"/>
        <v>8101569.25</v>
      </c>
      <c r="K37" s="642">
        <f t="shared" si="5"/>
        <v>8304108.4812499983</v>
      </c>
      <c r="L37" s="642">
        <f t="shared" si="5"/>
        <v>8511711.1932812463</v>
      </c>
      <c r="M37" s="642">
        <f t="shared" si="5"/>
        <v>8724503.9731132779</v>
      </c>
      <c r="N37" s="895">
        <f t="shared" si="5"/>
        <v>41545862.897644527</v>
      </c>
      <c r="O37" s="116"/>
      <c r="P37" s="116"/>
      <c r="Q37" s="116"/>
    </row>
    <row r="38" spans="1:17" ht="21" x14ac:dyDescent="0.4">
      <c r="A38" s="781"/>
      <c r="B38" s="864"/>
      <c r="C38" s="896" t="s">
        <v>1150</v>
      </c>
      <c r="D38" s="944"/>
      <c r="E38" s="945"/>
      <c r="F38" s="945"/>
      <c r="G38" s="946"/>
      <c r="H38" s="946"/>
      <c r="I38" s="772"/>
      <c r="J38" s="772">
        <f>I38*1.025</f>
        <v>0</v>
      </c>
      <c r="K38" s="772">
        <f>J38*1.025</f>
        <v>0</v>
      </c>
      <c r="L38" s="772">
        <f>K38*1.025</f>
        <v>0</v>
      </c>
      <c r="M38" s="772">
        <f>L38*1.025</f>
        <v>0</v>
      </c>
      <c r="N38" s="772">
        <f>M38*1.025</f>
        <v>0</v>
      </c>
      <c r="O38" s="116"/>
      <c r="P38" s="116"/>
      <c r="Q38" s="116"/>
    </row>
    <row r="39" spans="1:17" ht="21.6" thickBot="1" x14ac:dyDescent="0.45">
      <c r="A39" s="781"/>
      <c r="B39" s="864"/>
      <c r="C39" s="892" t="s">
        <v>1152</v>
      </c>
      <c r="D39" s="639"/>
      <c r="E39" s="640"/>
      <c r="F39" s="640"/>
      <c r="G39" s="641"/>
      <c r="H39" s="641"/>
      <c r="I39" s="642">
        <f t="shared" si="5"/>
        <v>7903970</v>
      </c>
      <c r="J39" s="642">
        <f t="shared" si="5"/>
        <v>8101569.25</v>
      </c>
      <c r="K39" s="642">
        <f t="shared" si="5"/>
        <v>8304108.4812499983</v>
      </c>
      <c r="L39" s="642">
        <f t="shared" si="5"/>
        <v>8511711.1932812463</v>
      </c>
      <c r="M39" s="642">
        <f t="shared" si="5"/>
        <v>8724503.9731132779</v>
      </c>
      <c r="N39" s="895">
        <f t="shared" si="5"/>
        <v>41545862.897644527</v>
      </c>
      <c r="O39" s="116"/>
      <c r="P39" s="116"/>
      <c r="Q39" s="116"/>
    </row>
    <row r="40" spans="1:17" ht="21" x14ac:dyDescent="0.4">
      <c r="A40" s="781"/>
      <c r="B40" s="864"/>
      <c r="C40" s="896" t="s">
        <v>1151</v>
      </c>
      <c r="D40" s="944"/>
      <c r="E40" s="945"/>
      <c r="F40" s="945"/>
      <c r="G40" s="946"/>
      <c r="H40" s="946"/>
      <c r="I40" s="772"/>
      <c r="J40" s="772">
        <f>I40*1.025</f>
        <v>0</v>
      </c>
      <c r="K40" s="772">
        <f>J40*1.025</f>
        <v>0</v>
      </c>
      <c r="L40" s="772">
        <f>K40*1.025</f>
        <v>0</v>
      </c>
      <c r="M40" s="772">
        <f>L40*1.025</f>
        <v>0</v>
      </c>
      <c r="N40" s="772">
        <f>M40*1.025</f>
        <v>0</v>
      </c>
      <c r="O40" s="116"/>
      <c r="P40" s="116"/>
      <c r="Q40" s="116"/>
    </row>
    <row r="41" spans="1:17" ht="21.6" thickBot="1" x14ac:dyDescent="0.45">
      <c r="A41" s="781"/>
      <c r="B41" s="864"/>
      <c r="C41" s="892" t="s">
        <v>1153</v>
      </c>
      <c r="D41" s="639"/>
      <c r="E41" s="640"/>
      <c r="F41" s="640"/>
      <c r="G41" s="641"/>
      <c r="H41" s="641"/>
      <c r="I41" s="642">
        <f t="shared" si="5"/>
        <v>7903970</v>
      </c>
      <c r="J41" s="642">
        <f t="shared" si="5"/>
        <v>8101569.25</v>
      </c>
      <c r="K41" s="642">
        <f t="shared" si="5"/>
        <v>8304108.4812499983</v>
      </c>
      <c r="L41" s="642">
        <f t="shared" si="5"/>
        <v>8511711.1932812463</v>
      </c>
      <c r="M41" s="642">
        <f t="shared" si="5"/>
        <v>8724503.9731132779</v>
      </c>
      <c r="N41" s="895">
        <f t="shared" si="5"/>
        <v>41545862.897644527</v>
      </c>
      <c r="O41" s="116"/>
      <c r="P41" s="116"/>
      <c r="Q41" s="116"/>
    </row>
    <row r="42" spans="1:17" ht="21" x14ac:dyDescent="0.4">
      <c r="A42" s="781"/>
      <c r="B42" s="864"/>
      <c r="C42" s="896" t="s">
        <v>1145</v>
      </c>
      <c r="D42" s="944"/>
      <c r="E42" s="945"/>
      <c r="F42" s="945"/>
      <c r="G42" s="946"/>
      <c r="H42" s="946"/>
      <c r="I42" s="772"/>
      <c r="J42" s="772">
        <f>I42*1.025</f>
        <v>0</v>
      </c>
      <c r="K42" s="772">
        <f>J42*1.025</f>
        <v>0</v>
      </c>
      <c r="L42" s="772">
        <f>K42*1.025</f>
        <v>0</v>
      </c>
      <c r="M42" s="772">
        <f>L42*1.025</f>
        <v>0</v>
      </c>
      <c r="N42" s="772">
        <f>M42*1.025</f>
        <v>0</v>
      </c>
      <c r="O42" s="116"/>
      <c r="P42" s="116"/>
      <c r="Q42" s="116"/>
    </row>
    <row r="43" spans="1:17" ht="21.6" thickBot="1" x14ac:dyDescent="0.45">
      <c r="A43" s="781"/>
      <c r="B43" s="864"/>
      <c r="C43" s="892" t="s">
        <v>1154</v>
      </c>
      <c r="D43" s="940"/>
      <c r="E43" s="941"/>
      <c r="F43" s="941"/>
      <c r="G43" s="942"/>
      <c r="H43" s="942"/>
      <c r="I43" s="943">
        <f t="shared" ref="I43:N43" si="6">I41+I42</f>
        <v>7903970</v>
      </c>
      <c r="J43" s="943">
        <f t="shared" si="6"/>
        <v>8101569.25</v>
      </c>
      <c r="K43" s="943">
        <f t="shared" si="6"/>
        <v>8304108.4812499983</v>
      </c>
      <c r="L43" s="943">
        <f t="shared" si="6"/>
        <v>8511711.1932812463</v>
      </c>
      <c r="M43" s="943">
        <f t="shared" si="6"/>
        <v>8724503.9731132779</v>
      </c>
      <c r="N43" s="943">
        <f t="shared" si="6"/>
        <v>41545862.897644527</v>
      </c>
      <c r="O43" s="116"/>
      <c r="P43" s="116"/>
      <c r="Q43" s="116"/>
    </row>
    <row r="44" spans="1:17" ht="21" x14ac:dyDescent="0.4">
      <c r="A44" s="781"/>
      <c r="B44" s="864"/>
      <c r="C44" s="881" t="s">
        <v>411</v>
      </c>
      <c r="D44" s="617"/>
      <c r="E44" s="618"/>
      <c r="F44" s="618"/>
      <c r="G44" s="627"/>
      <c r="H44" s="627"/>
      <c r="I44" s="772">
        <f>'Operating '!W56</f>
        <v>416160</v>
      </c>
      <c r="J44" s="772">
        <f>I44*1.025</f>
        <v>426563.99999999994</v>
      </c>
      <c r="K44" s="638">
        <f>J44*1.025</f>
        <v>437228.09999999992</v>
      </c>
      <c r="L44" s="638">
        <f>K44*1.025</f>
        <v>448158.80249999987</v>
      </c>
      <c r="M44" s="638">
        <f>L44*1.025</f>
        <v>459362.77256249986</v>
      </c>
      <c r="N44" s="894">
        <f>SUM(I44:M44)</f>
        <v>2187473.6750624999</v>
      </c>
      <c r="O44" s="116"/>
      <c r="P44" s="116"/>
      <c r="Q44" s="116"/>
    </row>
    <row r="45" spans="1:17" ht="21.6" thickBot="1" x14ac:dyDescent="0.45">
      <c r="A45" s="781"/>
      <c r="B45" s="864"/>
      <c r="C45" s="892" t="s">
        <v>409</v>
      </c>
      <c r="D45" s="639"/>
      <c r="E45" s="640"/>
      <c r="F45" s="640"/>
      <c r="G45" s="641"/>
      <c r="H45" s="641"/>
      <c r="I45" s="642">
        <f>I43+I44</f>
        <v>8320130</v>
      </c>
      <c r="J45" s="642">
        <f>J43+J44</f>
        <v>8528133.25</v>
      </c>
      <c r="K45" s="642">
        <f>K43+K44</f>
        <v>8741336.5812499989</v>
      </c>
      <c r="L45" s="642">
        <f>L43+L44</f>
        <v>8959869.9957812466</v>
      </c>
      <c r="M45" s="642">
        <f>M37+M44</f>
        <v>9183866.745675778</v>
      </c>
      <c r="N45" s="895">
        <f>N37+N44</f>
        <v>43733336.572707027</v>
      </c>
      <c r="O45" s="116"/>
      <c r="P45" s="116"/>
      <c r="Q45" s="116"/>
    </row>
    <row r="46" spans="1:17" ht="21" x14ac:dyDescent="0.4">
      <c r="A46" s="781"/>
      <c r="B46" s="864"/>
      <c r="C46" s="881" t="s">
        <v>507</v>
      </c>
      <c r="D46" s="617"/>
      <c r="E46" s="618"/>
      <c r="F46" s="618"/>
      <c r="G46" s="627"/>
      <c r="H46" s="627"/>
      <c r="I46" s="772">
        <f>'Operating '!W90</f>
        <v>843795</v>
      </c>
      <c r="J46" s="772">
        <f>I46*1.025</f>
        <v>864889.87499999988</v>
      </c>
      <c r="K46" s="638">
        <f>J46*1.025</f>
        <v>886512.12187499984</v>
      </c>
      <c r="L46" s="638">
        <f>K46*1.025</f>
        <v>908674.92492187477</v>
      </c>
      <c r="M46" s="638">
        <f>L46*1.025</f>
        <v>931391.7980449216</v>
      </c>
      <c r="N46" s="894">
        <f>SUM(I46:M46)</f>
        <v>4435263.719841796</v>
      </c>
      <c r="O46" s="116"/>
      <c r="P46" s="116"/>
      <c r="Q46" s="116"/>
    </row>
    <row r="47" spans="1:17" ht="21.6" thickBot="1" x14ac:dyDescent="0.45">
      <c r="A47" s="781"/>
      <c r="B47" s="864"/>
      <c r="C47" s="892" t="s">
        <v>410</v>
      </c>
      <c r="D47" s="639"/>
      <c r="E47" s="640"/>
      <c r="F47" s="640"/>
      <c r="G47" s="641"/>
      <c r="H47" s="641"/>
      <c r="I47" s="642">
        <f>I45+I46</f>
        <v>9163925</v>
      </c>
      <c r="J47" s="642">
        <f t="shared" ref="J47:N47" si="7">J45+J46</f>
        <v>9393023.125</v>
      </c>
      <c r="K47" s="642">
        <f t="shared" si="7"/>
        <v>9627848.7031249981</v>
      </c>
      <c r="L47" s="642">
        <f t="shared" si="7"/>
        <v>9868544.9207031205</v>
      </c>
      <c r="M47" s="642">
        <f t="shared" si="7"/>
        <v>10115258.5437207</v>
      </c>
      <c r="N47" s="895">
        <f t="shared" si="7"/>
        <v>48168600.29254882</v>
      </c>
      <c r="O47" s="116"/>
      <c r="P47" s="116"/>
      <c r="Q47" s="116"/>
    </row>
    <row r="48" spans="1:17" ht="21" x14ac:dyDescent="0.4">
      <c r="A48" s="781"/>
      <c r="B48" s="864"/>
      <c r="C48" s="907" t="s">
        <v>1196</v>
      </c>
      <c r="D48" s="908"/>
      <c r="E48" s="909"/>
      <c r="F48" s="909"/>
      <c r="G48" s="910"/>
      <c r="H48" s="910"/>
      <c r="I48" s="911">
        <f t="shared" ref="I48:N48" si="8">I32-I47</f>
        <v>27570.520433818921</v>
      </c>
      <c r="J48" s="911">
        <f t="shared" si="8"/>
        <v>70467.348395895213</v>
      </c>
      <c r="K48" s="911">
        <f t="shared" si="8"/>
        <v>39912.801478957757</v>
      </c>
      <c r="L48" s="911">
        <f t="shared" si="8"/>
        <v>47312.573068089783</v>
      </c>
      <c r="M48" s="911">
        <f t="shared" si="8"/>
        <v>109348.90347125567</v>
      </c>
      <c r="N48" s="912">
        <f t="shared" si="8"/>
        <v>294612.14684800804</v>
      </c>
      <c r="O48" s="772"/>
      <c r="P48" s="116"/>
      <c r="Q48" s="116"/>
    </row>
    <row r="49" spans="1:18" s="116" customFormat="1" ht="23.4" x14ac:dyDescent="0.45">
      <c r="A49" s="781"/>
      <c r="B49" s="864"/>
      <c r="C49" s="898" t="s">
        <v>1155</v>
      </c>
      <c r="D49" s="769"/>
      <c r="E49" s="770"/>
      <c r="F49" s="770"/>
      <c r="G49" s="771"/>
      <c r="H49" s="771"/>
      <c r="I49" s="778"/>
      <c r="J49" s="777"/>
      <c r="K49" s="777"/>
      <c r="L49" s="777"/>
      <c r="M49" s="777"/>
      <c r="N49" s="897"/>
      <c r="O49" s="772"/>
    </row>
    <row r="50" spans="1:18" ht="21" x14ac:dyDescent="0.4">
      <c r="A50" s="781"/>
      <c r="B50" s="864"/>
      <c r="C50" s="888" t="s">
        <v>500</v>
      </c>
      <c r="D50" s="769"/>
      <c r="E50" s="770"/>
      <c r="F50" s="770"/>
      <c r="G50" s="771"/>
      <c r="H50" s="771"/>
      <c r="I50" s="772"/>
      <c r="J50" s="772"/>
      <c r="K50" s="772"/>
      <c r="L50" s="772"/>
      <c r="M50" s="772"/>
      <c r="N50" s="899"/>
      <c r="O50" s="116"/>
      <c r="P50" s="116"/>
      <c r="Q50" s="116"/>
    </row>
    <row r="51" spans="1:18" ht="21" x14ac:dyDescent="0.4">
      <c r="A51" s="781"/>
      <c r="B51" s="864"/>
      <c r="C51" s="881" t="s">
        <v>247</v>
      </c>
      <c r="D51" s="617"/>
      <c r="E51" s="618"/>
      <c r="F51" s="618"/>
      <c r="G51" s="871"/>
      <c r="H51" s="619"/>
      <c r="I51" s="620">
        <v>150000</v>
      </c>
      <c r="J51" s="620">
        <v>150000</v>
      </c>
      <c r="K51" s="620">
        <v>150000</v>
      </c>
      <c r="L51" s="620">
        <v>150000</v>
      </c>
      <c r="M51" s="620">
        <v>150000</v>
      </c>
      <c r="N51" s="886">
        <f>SUM(I51:M51)</f>
        <v>750000</v>
      </c>
      <c r="O51" s="116"/>
      <c r="P51" s="116"/>
      <c r="Q51" s="116"/>
    </row>
    <row r="52" spans="1:18" ht="21" x14ac:dyDescent="0.4">
      <c r="A52" s="781"/>
      <c r="B52" s="864"/>
      <c r="C52" s="900" t="s">
        <v>248</v>
      </c>
      <c r="D52" s="623"/>
      <c r="E52" s="624"/>
      <c r="F52" s="624"/>
      <c r="G52" s="625"/>
      <c r="H52" s="625"/>
      <c r="I52" s="626"/>
      <c r="J52" s="626"/>
      <c r="K52" s="626"/>
      <c r="L52" s="626"/>
      <c r="M52" s="626"/>
      <c r="N52" s="883"/>
      <c r="O52" s="116"/>
      <c r="P52" s="116"/>
      <c r="Q52" s="116"/>
    </row>
    <row r="53" spans="1:18" ht="21" x14ac:dyDescent="0.4">
      <c r="A53" s="781"/>
      <c r="B53" s="864"/>
      <c r="C53" s="881" t="s">
        <v>1161</v>
      </c>
      <c r="D53" s="617"/>
      <c r="E53" s="618"/>
      <c r="F53" s="618"/>
      <c r="G53" s="627"/>
      <c r="H53" s="627"/>
      <c r="I53" s="628">
        <f>'FTA FY27 Sub Allocation Exampl '!J31</f>
        <v>594355.79761561309</v>
      </c>
      <c r="J53" s="628">
        <f>I53*1.01</f>
        <v>600299.35559176921</v>
      </c>
      <c r="K53" s="628">
        <f>J53*1.01</f>
        <v>606302.34914768697</v>
      </c>
      <c r="L53" s="628">
        <f>K53*1.01</f>
        <v>612365.37263916386</v>
      </c>
      <c r="M53" s="628">
        <f>L53*1.01</f>
        <v>618489.02636555547</v>
      </c>
      <c r="N53" s="886">
        <f>SUM(I53:M53)</f>
        <v>3031811.9013597886</v>
      </c>
      <c r="O53" s="116"/>
      <c r="P53" s="116"/>
      <c r="Q53" s="116"/>
    </row>
    <row r="54" spans="1:18" ht="21" hidden="1" x14ac:dyDescent="0.4">
      <c r="A54" s="781"/>
      <c r="B54" s="864"/>
      <c r="C54" s="884" t="s">
        <v>429</v>
      </c>
      <c r="D54" s="872"/>
      <c r="E54" s="629"/>
      <c r="F54" s="629"/>
      <c r="G54" s="630"/>
      <c r="H54" s="630"/>
      <c r="I54" s="631">
        <v>0</v>
      </c>
      <c r="J54" s="631">
        <v>0</v>
      </c>
      <c r="K54" s="631">
        <v>0</v>
      </c>
      <c r="L54" s="631">
        <v>0</v>
      </c>
      <c r="M54" s="631">
        <v>0</v>
      </c>
      <c r="N54" s="885">
        <f>SUM(I54:M54)</f>
        <v>0</v>
      </c>
      <c r="O54" s="116"/>
      <c r="P54" s="116"/>
      <c r="Q54" s="116"/>
    </row>
    <row r="55" spans="1:18" ht="21" x14ac:dyDescent="0.4">
      <c r="A55" s="781"/>
      <c r="B55" s="864"/>
      <c r="C55" s="881" t="s">
        <v>1160</v>
      </c>
      <c r="D55" s="617"/>
      <c r="E55" s="618"/>
      <c r="F55" s="618"/>
      <c r="G55" s="627"/>
      <c r="H55" s="627"/>
      <c r="I55" s="628">
        <f>1196991/2</f>
        <v>598495.5</v>
      </c>
      <c r="J55" s="628">
        <f>I55*1.01</f>
        <v>604480.45499999996</v>
      </c>
      <c r="K55" s="628">
        <f>J55*1.01</f>
        <v>610525.25954999996</v>
      </c>
      <c r="L55" s="628">
        <f>K55*1.01</f>
        <v>616630.51214549993</v>
      </c>
      <c r="M55" s="628">
        <f>L55*1.01</f>
        <v>622796.81726695492</v>
      </c>
      <c r="N55" s="886">
        <f>SUM(I55:M55)</f>
        <v>3052928.5439624554</v>
      </c>
      <c r="O55" s="116"/>
      <c r="P55" s="116"/>
      <c r="Q55" s="116"/>
    </row>
    <row r="56" spans="1:18" ht="21" x14ac:dyDescent="0.4">
      <c r="A56" s="781"/>
      <c r="B56" s="864"/>
      <c r="C56" s="881" t="s">
        <v>249</v>
      </c>
      <c r="D56" s="617"/>
      <c r="E56" s="618"/>
      <c r="F56" s="618"/>
      <c r="G56" s="627"/>
      <c r="H56" s="627"/>
      <c r="I56" s="628"/>
      <c r="J56" s="628"/>
      <c r="K56" s="628"/>
      <c r="L56" s="628"/>
      <c r="M56" s="628"/>
      <c r="N56" s="882">
        <f>SUM(I56:M56)</f>
        <v>0</v>
      </c>
      <c r="O56" s="116"/>
      <c r="P56" s="116"/>
      <c r="Q56" s="116"/>
    </row>
    <row r="57" spans="1:18" ht="21" x14ac:dyDescent="0.4">
      <c r="A57" s="781"/>
      <c r="B57" s="864"/>
      <c r="C57" s="900" t="s">
        <v>1156</v>
      </c>
      <c r="D57" s="623"/>
      <c r="E57" s="624"/>
      <c r="F57" s="624"/>
      <c r="G57" s="625"/>
      <c r="H57" s="625"/>
      <c r="I57" s="947"/>
      <c r="J57" s="947"/>
      <c r="K57" s="947"/>
      <c r="L57" s="947"/>
      <c r="M57" s="947"/>
      <c r="N57" s="948"/>
      <c r="O57" s="116"/>
      <c r="P57" s="116"/>
      <c r="Q57" s="116"/>
    </row>
    <row r="58" spans="1:18" ht="21" x14ac:dyDescent="0.4">
      <c r="A58" s="781"/>
      <c r="B58" s="864"/>
      <c r="C58" s="881" t="s">
        <v>1164</v>
      </c>
      <c r="D58" s="617"/>
      <c r="E58" s="618"/>
      <c r="F58" s="618"/>
      <c r="G58" s="627"/>
      <c r="H58" s="627"/>
      <c r="I58" s="628"/>
      <c r="J58" s="628"/>
      <c r="K58" s="628"/>
      <c r="L58" s="628"/>
      <c r="M58" s="628"/>
      <c r="N58" s="882">
        <f>SUM(I58:M58)</f>
        <v>0</v>
      </c>
      <c r="O58" s="116"/>
      <c r="P58" s="116"/>
      <c r="Q58" s="116"/>
    </row>
    <row r="59" spans="1:18" ht="21" x14ac:dyDescent="0.4">
      <c r="A59" s="781"/>
      <c r="B59" s="864"/>
      <c r="C59" s="881" t="s">
        <v>1165</v>
      </c>
      <c r="D59" s="617"/>
      <c r="E59" s="618"/>
      <c r="F59" s="618"/>
      <c r="G59" s="627"/>
      <c r="H59" s="627"/>
      <c r="I59" s="628"/>
      <c r="J59" s="628">
        <f>I59*1.025</f>
        <v>0</v>
      </c>
      <c r="K59" s="628">
        <f>J59*1.025</f>
        <v>0</v>
      </c>
      <c r="L59" s="628">
        <f>K59*1.025</f>
        <v>0</v>
      </c>
      <c r="M59" s="628">
        <f>L59*1.025</f>
        <v>0</v>
      </c>
      <c r="N59" s="887">
        <f>SUM(I59:M59)</f>
        <v>0</v>
      </c>
      <c r="O59" s="116"/>
      <c r="P59" s="116"/>
      <c r="Q59" s="116"/>
    </row>
    <row r="60" spans="1:18" ht="21" hidden="1" x14ac:dyDescent="0.4">
      <c r="A60" s="781"/>
      <c r="B60" s="864"/>
      <c r="C60" s="881"/>
      <c r="D60" s="617"/>
      <c r="E60" s="618"/>
      <c r="F60" s="618"/>
      <c r="G60" s="627"/>
      <c r="H60" s="627"/>
      <c r="I60" s="628"/>
      <c r="J60" s="628"/>
      <c r="K60" s="628"/>
      <c r="L60" s="628"/>
      <c r="M60" s="628"/>
      <c r="N60" s="887"/>
      <c r="O60" s="116"/>
      <c r="P60" s="116"/>
      <c r="Q60" s="116"/>
    </row>
    <row r="61" spans="1:18" ht="21" x14ac:dyDescent="0.4">
      <c r="A61" s="781"/>
      <c r="B61" s="864"/>
      <c r="C61" s="881" t="s">
        <v>1166</v>
      </c>
      <c r="D61" s="617"/>
      <c r="E61" s="618"/>
      <c r="F61" s="618"/>
      <c r="G61" s="627"/>
      <c r="H61" s="627"/>
      <c r="I61" s="628"/>
      <c r="J61" s="628">
        <f>I61*1.025</f>
        <v>0</v>
      </c>
      <c r="K61" s="628">
        <f>J61*1.025</f>
        <v>0</v>
      </c>
      <c r="L61" s="628">
        <f>K61*1.025</f>
        <v>0</v>
      </c>
      <c r="M61" s="628">
        <f>L61*1.025</f>
        <v>0</v>
      </c>
      <c r="N61" s="887">
        <f>SUM(I61:M61)</f>
        <v>0</v>
      </c>
      <c r="O61" s="116"/>
      <c r="P61" s="116"/>
      <c r="Q61" s="116"/>
    </row>
    <row r="62" spans="1:18" ht="21" x14ac:dyDescent="0.4">
      <c r="A62" s="781"/>
      <c r="B62" s="864"/>
      <c r="C62" s="884" t="s">
        <v>1144</v>
      </c>
      <c r="D62" s="617"/>
      <c r="E62" s="618"/>
      <c r="F62" s="618"/>
      <c r="G62" s="627"/>
      <c r="H62" s="627"/>
      <c r="I62" s="951"/>
      <c r="J62" s="951"/>
      <c r="K62" s="951"/>
      <c r="L62" s="951"/>
      <c r="M62" s="951"/>
      <c r="N62" s="887"/>
      <c r="O62" s="116"/>
      <c r="P62" s="116"/>
      <c r="Q62" s="116"/>
    </row>
    <row r="63" spans="1:18" ht="21" x14ac:dyDescent="0.4">
      <c r="A63" s="781"/>
      <c r="B63" s="864"/>
      <c r="C63" s="881" t="s">
        <v>1159</v>
      </c>
      <c r="D63" s="617"/>
      <c r="E63" s="618"/>
      <c r="F63" s="618"/>
      <c r="G63" s="627"/>
      <c r="H63" s="627"/>
      <c r="I63" s="951">
        <v>85000</v>
      </c>
      <c r="J63" s="951">
        <v>85000</v>
      </c>
      <c r="K63" s="951">
        <v>85000</v>
      </c>
      <c r="L63" s="951">
        <v>85000</v>
      </c>
      <c r="M63" s="951">
        <v>85000</v>
      </c>
      <c r="N63" s="1056">
        <f t="shared" ref="N63:N72" si="9">SUM(I63:M63)</f>
        <v>425000</v>
      </c>
      <c r="O63" s="116"/>
      <c r="P63" s="116"/>
      <c r="Q63" s="116"/>
    </row>
    <row r="64" spans="1:18" ht="25.8" x14ac:dyDescent="0.5">
      <c r="A64" s="781"/>
      <c r="B64" s="864"/>
      <c r="C64" s="884" t="s">
        <v>1163</v>
      </c>
      <c r="D64" s="872"/>
      <c r="E64" s="629"/>
      <c r="F64" s="629"/>
      <c r="G64" s="630"/>
      <c r="H64" s="630"/>
      <c r="I64" s="954">
        <f>30*1200*12</f>
        <v>432000</v>
      </c>
      <c r="J64" s="954">
        <f>30*1300*12</f>
        <v>468000</v>
      </c>
      <c r="K64" s="954">
        <f>30*1400*12</f>
        <v>504000</v>
      </c>
      <c r="L64" s="954">
        <f>30*1500*12</f>
        <v>540000</v>
      </c>
      <c r="M64" s="954">
        <f>30*1600*12</f>
        <v>576000</v>
      </c>
      <c r="N64" s="1057">
        <f>SUM(I64:M64)</f>
        <v>2520000</v>
      </c>
      <c r="O64" s="116"/>
      <c r="P64" s="116"/>
      <c r="Q64" s="116"/>
      <c r="R64" s="957">
        <f>30*5*254*2</f>
        <v>76200</v>
      </c>
    </row>
    <row r="65" spans="1:17" ht="21" x14ac:dyDescent="0.4">
      <c r="A65" s="781"/>
      <c r="B65" s="864"/>
      <c r="C65" s="896" t="s">
        <v>1187</v>
      </c>
      <c r="D65" s="769"/>
      <c r="E65" s="770"/>
      <c r="F65" s="770"/>
      <c r="G65" s="771"/>
      <c r="H65" s="771"/>
      <c r="I65" s="772">
        <f>'Operating '!Z94/2</f>
        <v>97671</v>
      </c>
      <c r="J65" s="638">
        <f t="shared" ref="J65:K67" si="10">I65</f>
        <v>97671</v>
      </c>
      <c r="K65" s="638">
        <f t="shared" si="10"/>
        <v>97671</v>
      </c>
      <c r="L65" s="638">
        <f>K65*1.05</f>
        <v>102554.55</v>
      </c>
      <c r="M65" s="638">
        <f>L65</f>
        <v>102554.55</v>
      </c>
      <c r="N65" s="1056">
        <f>SUM(I65:M65)</f>
        <v>498122.1</v>
      </c>
      <c r="O65" s="116"/>
      <c r="P65" s="116"/>
      <c r="Q65" s="116"/>
    </row>
    <row r="66" spans="1:17" ht="21" x14ac:dyDescent="0.4">
      <c r="A66" s="781"/>
      <c r="B66" s="864"/>
      <c r="C66" s="896" t="s">
        <v>1188</v>
      </c>
      <c r="D66" s="769"/>
      <c r="E66" s="770"/>
      <c r="F66" s="770"/>
      <c r="G66" s="771"/>
      <c r="H66" s="771"/>
      <c r="I66" s="772">
        <f>'Operating '!Z94/2</f>
        <v>97671</v>
      </c>
      <c r="J66" s="638">
        <f t="shared" si="10"/>
        <v>97671</v>
      </c>
      <c r="K66" s="638">
        <f t="shared" si="10"/>
        <v>97671</v>
      </c>
      <c r="L66" s="638">
        <f>K66*1.05</f>
        <v>102554.55</v>
      </c>
      <c r="M66" s="638">
        <f>L66</f>
        <v>102554.55</v>
      </c>
      <c r="N66" s="1056">
        <f>SUM(I66:M66)</f>
        <v>498122.1</v>
      </c>
      <c r="O66" s="116"/>
      <c r="P66" s="116"/>
      <c r="Q66" s="116"/>
    </row>
    <row r="67" spans="1:17" ht="21" x14ac:dyDescent="0.4">
      <c r="A67" s="781"/>
      <c r="B67" s="864"/>
      <c r="C67" s="896" t="s">
        <v>1146</v>
      </c>
      <c r="D67" s="769"/>
      <c r="E67" s="770"/>
      <c r="F67" s="770"/>
      <c r="G67" s="771"/>
      <c r="H67" s="771"/>
      <c r="I67" s="772">
        <f>'Operating '!Z95</f>
        <v>180565</v>
      </c>
      <c r="J67" s="772">
        <f t="shared" si="10"/>
        <v>180565</v>
      </c>
      <c r="K67" s="772">
        <f t="shared" si="10"/>
        <v>180565</v>
      </c>
      <c r="L67" s="638">
        <f>K67*1.05</f>
        <v>189593.25</v>
      </c>
      <c r="M67" s="772">
        <f>L67</f>
        <v>189593.25</v>
      </c>
      <c r="N67" s="1056">
        <f>SUM(I67:M67)</f>
        <v>920881.5</v>
      </c>
      <c r="O67" s="116"/>
      <c r="P67" s="116"/>
      <c r="Q67" s="116"/>
    </row>
    <row r="68" spans="1:17" ht="21" x14ac:dyDescent="0.4">
      <c r="A68" s="781"/>
      <c r="B68" s="864"/>
      <c r="C68" s="888" t="s">
        <v>500</v>
      </c>
      <c r="D68" s="723"/>
      <c r="E68" s="724"/>
      <c r="F68" s="724"/>
      <c r="G68" s="725"/>
      <c r="H68" s="725"/>
      <c r="I68" s="726">
        <f>SUM(I51:I67)</f>
        <v>2235758.2976156129</v>
      </c>
      <c r="J68" s="726">
        <f>SUM(J51:J67)</f>
        <v>2283686.8105917694</v>
      </c>
      <c r="K68" s="726">
        <f>SUM(K51:K67)</f>
        <v>2331734.6086976868</v>
      </c>
      <c r="L68" s="726">
        <f>SUM(L51:L67)</f>
        <v>2398698.2347846637</v>
      </c>
      <c r="M68" s="726">
        <f>SUM(M51:M67)</f>
        <v>2446988.19363251</v>
      </c>
      <c r="N68" s="1058">
        <f t="shared" si="9"/>
        <v>11696866.145322241</v>
      </c>
      <c r="O68" s="116"/>
      <c r="P68" s="116"/>
      <c r="Q68" s="116"/>
    </row>
    <row r="69" spans="1:17" ht="21" x14ac:dyDescent="0.4">
      <c r="A69" s="781"/>
      <c r="B69" s="864"/>
      <c r="C69" s="896" t="s">
        <v>1147</v>
      </c>
      <c r="D69" s="769"/>
      <c r="E69" s="770"/>
      <c r="F69" s="770"/>
      <c r="G69" s="771"/>
      <c r="H69" s="771"/>
      <c r="I69" s="772">
        <f>'Operating '!W94/2</f>
        <v>593775</v>
      </c>
      <c r="J69" s="638">
        <f t="shared" ref="J69:M70" si="11">I69*1.025</f>
        <v>608619.375</v>
      </c>
      <c r="K69" s="638">
        <f t="shared" si="11"/>
        <v>623834.859375</v>
      </c>
      <c r="L69" s="638">
        <f t="shared" si="11"/>
        <v>639430.73085937498</v>
      </c>
      <c r="M69" s="638">
        <f t="shared" si="11"/>
        <v>655416.49913085927</v>
      </c>
      <c r="N69" s="894">
        <f>SUM(I69:M69)</f>
        <v>3121076.4643652346</v>
      </c>
      <c r="O69" s="116"/>
      <c r="P69" s="116"/>
      <c r="Q69" s="116"/>
    </row>
    <row r="70" spans="1:17" ht="21" x14ac:dyDescent="0.4">
      <c r="A70" s="781"/>
      <c r="B70" s="864"/>
      <c r="C70" s="896" t="s">
        <v>1148</v>
      </c>
      <c r="D70" s="769"/>
      <c r="E70" s="770"/>
      <c r="F70" s="770"/>
      <c r="G70" s="771"/>
      <c r="H70" s="771"/>
      <c r="I70" s="638">
        <f>'Operating '!W94/2</f>
        <v>593775</v>
      </c>
      <c r="J70" s="638">
        <f t="shared" si="11"/>
        <v>608619.375</v>
      </c>
      <c r="K70" s="638">
        <f t="shared" si="11"/>
        <v>623834.859375</v>
      </c>
      <c r="L70" s="638">
        <f t="shared" si="11"/>
        <v>639430.73085937498</v>
      </c>
      <c r="M70" s="638">
        <f t="shared" si="11"/>
        <v>655416.49913085927</v>
      </c>
      <c r="N70" s="1056">
        <f>SUM(I70:M70)</f>
        <v>3121076.4643652346</v>
      </c>
      <c r="O70" s="116"/>
      <c r="P70" s="116"/>
      <c r="Q70" s="116"/>
    </row>
    <row r="71" spans="1:17" ht="21" x14ac:dyDescent="0.4">
      <c r="A71" s="781"/>
      <c r="B71" s="864"/>
      <c r="C71" s="991" t="s">
        <v>1221</v>
      </c>
      <c r="D71" s="992"/>
      <c r="E71" s="993"/>
      <c r="F71" s="993"/>
      <c r="G71" s="994"/>
      <c r="H71" s="994"/>
      <c r="I71" s="995">
        <f>I64</f>
        <v>432000</v>
      </c>
      <c r="J71" s="995">
        <f>J64</f>
        <v>468000</v>
      </c>
      <c r="K71" s="995">
        <f>K64</f>
        <v>504000</v>
      </c>
      <c r="L71" s="995">
        <f>L64</f>
        <v>540000</v>
      </c>
      <c r="M71" s="995">
        <f>M64</f>
        <v>576000</v>
      </c>
      <c r="N71" s="1057">
        <f>SUM(I71:M71)</f>
        <v>2520000</v>
      </c>
      <c r="O71" s="116"/>
      <c r="P71" s="116"/>
      <c r="Q71" s="116"/>
    </row>
    <row r="72" spans="1:17" ht="21" x14ac:dyDescent="0.4">
      <c r="A72" s="781"/>
      <c r="B72" s="864"/>
      <c r="C72" s="896" t="s">
        <v>1149</v>
      </c>
      <c r="D72" s="769"/>
      <c r="E72" s="770"/>
      <c r="F72" s="770"/>
      <c r="G72" s="771"/>
      <c r="H72" s="771"/>
      <c r="I72" s="772">
        <f>'Operating '!W95</f>
        <v>446775</v>
      </c>
      <c r="J72" s="772">
        <f t="shared" ref="J72:M72" si="12">I72*1.025</f>
        <v>457944.37499999994</v>
      </c>
      <c r="K72" s="772">
        <f t="shared" si="12"/>
        <v>469392.98437499988</v>
      </c>
      <c r="L72" s="772">
        <f t="shared" si="12"/>
        <v>481127.80898437486</v>
      </c>
      <c r="M72" s="772">
        <f t="shared" si="12"/>
        <v>493156.0042089842</v>
      </c>
      <c r="N72" s="1059">
        <f t="shared" si="9"/>
        <v>2348396.1725683589</v>
      </c>
      <c r="O72" s="116"/>
      <c r="P72" s="116"/>
      <c r="Q72" s="116"/>
    </row>
    <row r="73" spans="1:17" ht="21.6" thickBot="1" x14ac:dyDescent="0.45">
      <c r="A73" s="781"/>
      <c r="B73" s="864"/>
      <c r="C73" s="892" t="s">
        <v>499</v>
      </c>
      <c r="D73" s="639"/>
      <c r="E73" s="640"/>
      <c r="F73" s="640"/>
      <c r="G73" s="641"/>
      <c r="H73" s="641"/>
      <c r="I73" s="642">
        <f>SUM(I69:I72)</f>
        <v>2066325</v>
      </c>
      <c r="J73" s="642">
        <f>SUM(J69:J72)</f>
        <v>2143183.125</v>
      </c>
      <c r="K73" s="642">
        <f>SUM(K69:K72)</f>
        <v>2221062.703125</v>
      </c>
      <c r="L73" s="642">
        <f>SUM(L69:L72)</f>
        <v>2299989.2707031248</v>
      </c>
      <c r="M73" s="642">
        <f>SUM(M69:M72)</f>
        <v>2379989.0024707029</v>
      </c>
      <c r="N73" s="895">
        <f>SUM(N69:N70)</f>
        <v>6242152.9287304692</v>
      </c>
      <c r="O73" s="116"/>
      <c r="P73" s="116"/>
      <c r="Q73" s="116"/>
    </row>
    <row r="74" spans="1:17" ht="21" x14ac:dyDescent="0.4">
      <c r="A74" s="781"/>
      <c r="B74" s="864"/>
      <c r="C74" s="896" t="s">
        <v>1168</v>
      </c>
      <c r="D74" s="769"/>
      <c r="E74" s="770"/>
      <c r="F74" s="770"/>
      <c r="G74" s="771"/>
      <c r="H74" s="771"/>
      <c r="I74" s="772">
        <f t="shared" ref="I74:N74" si="13">I68-I73</f>
        <v>169433.29761561286</v>
      </c>
      <c r="J74" s="772">
        <f t="shared" si="13"/>
        <v>140503.6855917694</v>
      </c>
      <c r="K74" s="772">
        <f t="shared" si="13"/>
        <v>110671.90557268681</v>
      </c>
      <c r="L74" s="772">
        <f t="shared" si="13"/>
        <v>98708.964081538841</v>
      </c>
      <c r="M74" s="772">
        <f t="shared" si="13"/>
        <v>66999.191161807161</v>
      </c>
      <c r="N74" s="899">
        <f t="shared" si="13"/>
        <v>5454713.2165917717</v>
      </c>
      <c r="O74" s="116"/>
      <c r="P74" s="116"/>
      <c r="Q74" s="116"/>
    </row>
    <row r="75" spans="1:17" ht="21" x14ac:dyDescent="0.4">
      <c r="A75" s="781"/>
      <c r="B75" s="864"/>
      <c r="C75" s="881" t="s">
        <v>1169</v>
      </c>
      <c r="D75" s="617"/>
      <c r="E75" s="618"/>
      <c r="F75" s="618"/>
      <c r="G75" s="627"/>
      <c r="H75" s="627"/>
      <c r="I75" s="628">
        <f>I53</f>
        <v>594355.79761561309</v>
      </c>
      <c r="J75" s="628">
        <f>I75*1.01</f>
        <v>600299.35559176921</v>
      </c>
      <c r="K75" s="628">
        <f>J75*1.01</f>
        <v>606302.34914768697</v>
      </c>
      <c r="L75" s="628">
        <f>K75*1.01</f>
        <v>612365.37263916386</v>
      </c>
      <c r="M75" s="628">
        <f>L75*1.01</f>
        <v>618489.02636555547</v>
      </c>
      <c r="N75" s="886">
        <f>SUM(I75:M75)</f>
        <v>3031811.9013597886</v>
      </c>
      <c r="O75" s="116"/>
      <c r="P75" s="116"/>
      <c r="Q75" s="116"/>
    </row>
    <row r="76" spans="1:17" ht="21" x14ac:dyDescent="0.4">
      <c r="A76" s="781"/>
      <c r="B76" s="864"/>
      <c r="C76" s="896"/>
      <c r="D76" s="769"/>
      <c r="E76" s="770"/>
      <c r="F76" s="770"/>
      <c r="G76" s="771"/>
      <c r="H76" s="771"/>
      <c r="I76" s="772"/>
      <c r="J76" s="772"/>
      <c r="K76" s="772"/>
      <c r="L76" s="772"/>
      <c r="M76" s="772"/>
      <c r="N76" s="899"/>
      <c r="O76" s="116"/>
      <c r="P76" s="116"/>
      <c r="Q76" s="116"/>
    </row>
    <row r="77" spans="1:17" ht="21" x14ac:dyDescent="0.4">
      <c r="A77" s="781"/>
      <c r="B77" s="864"/>
      <c r="C77" s="901" t="s">
        <v>1157</v>
      </c>
      <c r="D77" s="902"/>
      <c r="E77" s="903"/>
      <c r="F77" s="903"/>
      <c r="G77" s="904"/>
      <c r="H77" s="904"/>
      <c r="I77" s="905">
        <f>I68+I32</f>
        <v>11427253.818049431</v>
      </c>
      <c r="J77" s="905">
        <f>J68+J32</f>
        <v>11747177.283987664</v>
      </c>
      <c r="K77" s="905">
        <f>K68+K32</f>
        <v>11999496.113301642</v>
      </c>
      <c r="L77" s="905">
        <f>L68+L32</f>
        <v>12314555.728555873</v>
      </c>
      <c r="M77" s="905">
        <f>M68+M32</f>
        <v>12671595.640824465</v>
      </c>
      <c r="N77" s="906">
        <f>SUM(I77:M77)</f>
        <v>60160078.584719077</v>
      </c>
      <c r="O77" s="116"/>
      <c r="P77" s="116"/>
      <c r="Q77" s="116"/>
    </row>
    <row r="78" spans="1:17" ht="21" x14ac:dyDescent="0.4">
      <c r="A78" s="781"/>
      <c r="B78" s="864"/>
      <c r="C78" s="901" t="s">
        <v>1141</v>
      </c>
      <c r="D78" s="902"/>
      <c r="E78" s="903"/>
      <c r="F78" s="903"/>
      <c r="G78" s="904"/>
      <c r="H78" s="904"/>
      <c r="I78" s="905">
        <f>I73+I47</f>
        <v>11230250</v>
      </c>
      <c r="J78" s="905">
        <f>J73+J47</f>
        <v>11536206.25</v>
      </c>
      <c r="K78" s="905">
        <f>K73+K47</f>
        <v>11848911.406249998</v>
      </c>
      <c r="L78" s="905">
        <f>L73+L47</f>
        <v>12168534.191406246</v>
      </c>
      <c r="M78" s="905">
        <f>M73+M47</f>
        <v>12495247.546191402</v>
      </c>
      <c r="N78" s="906">
        <f>SUM(I78:M78)</f>
        <v>59279149.393847652</v>
      </c>
      <c r="O78" s="116"/>
      <c r="P78" s="116"/>
      <c r="Q78" s="116"/>
    </row>
    <row r="79" spans="1:17" ht="21" x14ac:dyDescent="0.4">
      <c r="A79" s="781"/>
      <c r="B79" s="864"/>
      <c r="C79" s="896" t="s">
        <v>1167</v>
      </c>
      <c r="D79" s="769"/>
      <c r="E79" s="770"/>
      <c r="F79" s="770"/>
      <c r="G79" s="771"/>
      <c r="H79" s="771"/>
      <c r="I79" s="772">
        <f t="shared" ref="I79:N79" si="14">I77-I78</f>
        <v>197003.81804943085</v>
      </c>
      <c r="J79" s="772">
        <f t="shared" si="14"/>
        <v>210971.03398766369</v>
      </c>
      <c r="K79" s="772">
        <f t="shared" si="14"/>
        <v>150584.7070516441</v>
      </c>
      <c r="L79" s="772">
        <f t="shared" si="14"/>
        <v>146021.53714962676</v>
      </c>
      <c r="M79" s="772">
        <f t="shared" si="14"/>
        <v>176348.0946330633</v>
      </c>
      <c r="N79" s="772">
        <f t="shared" si="14"/>
        <v>880929.19087142497</v>
      </c>
      <c r="O79" s="116"/>
      <c r="P79" s="116"/>
      <c r="Q79" s="116"/>
    </row>
    <row r="80" spans="1:17" ht="21" x14ac:dyDescent="0.4">
      <c r="A80" s="781"/>
      <c r="B80" s="864"/>
      <c r="C80" s="768"/>
      <c r="D80" s="769"/>
      <c r="E80" s="770"/>
      <c r="F80" s="770"/>
      <c r="G80" s="771"/>
      <c r="H80" s="771"/>
      <c r="I80" s="772"/>
      <c r="J80" s="772"/>
      <c r="K80" s="772"/>
      <c r="L80" s="772"/>
      <c r="M80" s="772"/>
      <c r="N80" s="772"/>
      <c r="O80" s="116"/>
      <c r="P80" s="116"/>
      <c r="Q80" s="116"/>
    </row>
    <row r="81" spans="1:17" ht="21" x14ac:dyDescent="0.4">
      <c r="A81" s="781"/>
      <c r="B81" s="864"/>
      <c r="C81" s="768" t="s">
        <v>1162</v>
      </c>
      <c r="D81" s="769"/>
      <c r="E81" s="770"/>
      <c r="F81" s="770"/>
      <c r="G81" s="771"/>
      <c r="H81" s="771"/>
      <c r="I81" s="772"/>
      <c r="J81" s="772"/>
      <c r="K81" s="772"/>
      <c r="L81" s="772"/>
      <c r="M81" s="772"/>
      <c r="N81" s="772"/>
      <c r="O81" s="116"/>
      <c r="P81" s="116"/>
      <c r="Q81" s="116"/>
    </row>
    <row r="82" spans="1:17" ht="21" x14ac:dyDescent="0.4">
      <c r="A82" s="781"/>
      <c r="B82" s="864"/>
      <c r="C82" s="768"/>
      <c r="D82" s="769"/>
      <c r="E82" s="770"/>
      <c r="F82" s="770"/>
      <c r="G82" s="771"/>
      <c r="H82" s="771"/>
      <c r="I82" s="772"/>
      <c r="J82" s="772"/>
      <c r="K82" s="772"/>
      <c r="L82" s="772"/>
      <c r="M82" s="772"/>
      <c r="N82" s="772"/>
      <c r="O82" s="116"/>
      <c r="P82" s="116"/>
      <c r="Q82" s="116"/>
    </row>
    <row r="83" spans="1:17" ht="21" x14ac:dyDescent="0.4">
      <c r="A83" s="781"/>
      <c r="B83" s="864"/>
      <c r="C83" s="768"/>
      <c r="D83" s="769"/>
      <c r="E83" s="770"/>
      <c r="F83" s="770"/>
      <c r="G83" s="771"/>
      <c r="H83" s="771"/>
      <c r="I83" s="772"/>
      <c r="J83" s="772"/>
      <c r="K83" s="772"/>
      <c r="L83" s="772"/>
      <c r="M83" s="772"/>
      <c r="N83" s="772"/>
      <c r="O83" s="116"/>
      <c r="P83" s="116"/>
      <c r="Q83" s="116"/>
    </row>
    <row r="84" spans="1:17" ht="21" x14ac:dyDescent="0.4">
      <c r="A84" s="779"/>
      <c r="C84" s="768"/>
      <c r="D84" s="769"/>
      <c r="E84" s="770"/>
      <c r="F84" s="770"/>
      <c r="G84" s="771"/>
      <c r="H84" s="771"/>
      <c r="I84" s="772"/>
      <c r="J84" s="772"/>
      <c r="K84" s="772"/>
      <c r="L84" s="772"/>
      <c r="M84" s="772"/>
      <c r="N84" s="772"/>
    </row>
    <row r="85" spans="1:17" ht="21" x14ac:dyDescent="0.4">
      <c r="A85" s="779"/>
      <c r="C85" s="622" t="s">
        <v>511</v>
      </c>
      <c r="D85" s="623"/>
      <c r="E85" s="624"/>
      <c r="F85" s="624"/>
      <c r="G85" s="625"/>
      <c r="H85" s="625"/>
      <c r="I85" s="643"/>
      <c r="J85" s="643"/>
      <c r="K85" s="643"/>
      <c r="L85" s="643"/>
      <c r="M85" s="643"/>
      <c r="N85" s="731"/>
    </row>
    <row r="86" spans="1:17" ht="21" x14ac:dyDescent="0.4">
      <c r="A86" s="779"/>
      <c r="C86" s="616" t="s">
        <v>322</v>
      </c>
      <c r="D86" s="617"/>
      <c r="E86" s="618"/>
      <c r="F86" s="618"/>
      <c r="G86" s="627"/>
      <c r="H86" s="627"/>
      <c r="I86" s="645"/>
      <c r="J86" s="627"/>
      <c r="K86" s="627"/>
      <c r="L86" s="646"/>
      <c r="M86" s="647"/>
      <c r="N86" s="621"/>
    </row>
    <row r="87" spans="1:17" ht="21" x14ac:dyDescent="0.4">
      <c r="A87" s="779"/>
      <c r="C87" s="616" t="s">
        <v>323</v>
      </c>
      <c r="D87" s="617"/>
      <c r="E87" s="618"/>
      <c r="F87" s="618"/>
      <c r="G87" s="627"/>
      <c r="H87" s="627"/>
      <c r="I87" s="728"/>
      <c r="J87" s="728"/>
      <c r="K87" s="728"/>
      <c r="L87" s="728"/>
      <c r="M87" s="728"/>
      <c r="N87" s="621"/>
    </row>
    <row r="88" spans="1:17" ht="21.6" thickBot="1" x14ac:dyDescent="0.45">
      <c r="A88" s="779"/>
      <c r="C88" s="632"/>
      <c r="D88" s="633"/>
      <c r="E88" s="634"/>
      <c r="F88" s="634"/>
      <c r="G88" s="635"/>
      <c r="H88" s="635"/>
      <c r="I88" s="730"/>
      <c r="J88" s="730"/>
      <c r="K88" s="730"/>
      <c r="L88" s="730"/>
      <c r="M88" s="730"/>
      <c r="N88" s="730"/>
    </row>
    <row r="89" spans="1:17" ht="21" x14ac:dyDescent="0.4">
      <c r="A89" s="779"/>
      <c r="C89" s="616" t="s">
        <v>324</v>
      </c>
      <c r="D89" s="617"/>
      <c r="E89" s="618"/>
      <c r="F89" s="618"/>
      <c r="G89" s="627"/>
      <c r="H89" s="627"/>
      <c r="I89" s="728"/>
      <c r="J89" s="728"/>
      <c r="K89" s="728"/>
      <c r="L89" s="728"/>
      <c r="M89" s="728"/>
      <c r="N89" s="621"/>
    </row>
    <row r="90" spans="1:17" ht="21" x14ac:dyDescent="0.4">
      <c r="A90" s="779"/>
      <c r="C90" s="616"/>
      <c r="D90" s="617"/>
      <c r="E90" s="618"/>
      <c r="F90" s="618"/>
      <c r="G90" s="627"/>
      <c r="H90" s="627"/>
      <c r="I90" s="645"/>
      <c r="J90" s="727"/>
      <c r="K90" s="727"/>
      <c r="L90" s="729"/>
      <c r="M90" s="647"/>
      <c r="N90" s="644"/>
    </row>
    <row r="91" spans="1:17" ht="21.6" thickBot="1" x14ac:dyDescent="0.45">
      <c r="A91" s="779"/>
      <c r="C91" s="632" t="s">
        <v>433</v>
      </c>
      <c r="D91" s="633"/>
      <c r="E91" s="634"/>
      <c r="F91" s="634"/>
      <c r="G91" s="635"/>
      <c r="H91" s="635"/>
      <c r="I91" s="648"/>
      <c r="J91" s="648"/>
      <c r="K91" s="648"/>
      <c r="L91" s="648"/>
      <c r="M91" s="648"/>
      <c r="N91" s="648"/>
    </row>
    <row r="92" spans="1:17" ht="21" x14ac:dyDescent="0.4">
      <c r="A92" s="779"/>
      <c r="C92" s="616" t="s">
        <v>434</v>
      </c>
      <c r="D92" s="617"/>
      <c r="E92" s="618"/>
      <c r="F92" s="618"/>
      <c r="G92" s="627"/>
      <c r="H92" s="627"/>
      <c r="I92" s="645"/>
      <c r="J92" s="645"/>
      <c r="K92" s="645"/>
      <c r="L92" s="645"/>
      <c r="M92" s="645"/>
      <c r="N92" s="621"/>
    </row>
    <row r="93" spans="1:17" ht="21" x14ac:dyDescent="0.4">
      <c r="A93" s="779"/>
      <c r="C93" s="616"/>
      <c r="D93" s="649"/>
      <c r="E93" s="649"/>
      <c r="F93" s="650"/>
      <c r="G93" s="651"/>
      <c r="H93" s="651"/>
      <c r="I93" s="645"/>
      <c r="J93" s="627"/>
      <c r="K93" s="627"/>
      <c r="L93" s="646"/>
      <c r="M93" s="647"/>
      <c r="N93" s="644"/>
      <c r="O93" s="239"/>
    </row>
    <row r="94" spans="1:17" ht="21.6" thickBot="1" x14ac:dyDescent="0.45">
      <c r="A94" s="779"/>
      <c r="C94" s="652" t="s">
        <v>435</v>
      </c>
      <c r="D94" s="653"/>
      <c r="E94" s="653"/>
      <c r="F94" s="654"/>
      <c r="G94" s="655"/>
      <c r="H94" s="656"/>
      <c r="I94" s="657">
        <f>I91+I92</f>
        <v>0</v>
      </c>
      <c r="J94" s="657">
        <f t="shared" ref="J94:M95" si="15">J91+J92</f>
        <v>0</v>
      </c>
      <c r="K94" s="657">
        <f t="shared" si="15"/>
        <v>0</v>
      </c>
      <c r="L94" s="657">
        <f t="shared" si="15"/>
        <v>0</v>
      </c>
      <c r="M94" s="657">
        <f t="shared" si="15"/>
        <v>0</v>
      </c>
      <c r="N94" s="732">
        <f>SUM(I94:M94)</f>
        <v>0</v>
      </c>
    </row>
    <row r="95" spans="1:17" ht="21.6" thickBot="1" x14ac:dyDescent="0.45">
      <c r="A95" s="779"/>
      <c r="C95" s="652"/>
      <c r="D95" s="653"/>
      <c r="E95" s="653"/>
      <c r="F95" s="654"/>
      <c r="G95" s="655"/>
      <c r="H95" s="656"/>
      <c r="I95" s="657">
        <f>I92+I93</f>
        <v>0</v>
      </c>
      <c r="J95" s="657">
        <f t="shared" si="15"/>
        <v>0</v>
      </c>
      <c r="K95" s="657">
        <f t="shared" si="15"/>
        <v>0</v>
      </c>
      <c r="L95" s="657">
        <f t="shared" si="15"/>
        <v>0</v>
      </c>
      <c r="M95" s="657">
        <f t="shared" si="15"/>
        <v>0</v>
      </c>
      <c r="N95" s="732">
        <f>SUM(I95:M95)</f>
        <v>0</v>
      </c>
      <c r="O95" s="239"/>
    </row>
    <row r="96" spans="1:17" ht="21.6" thickBot="1" x14ac:dyDescent="0.45">
      <c r="A96" s="782"/>
      <c r="B96" s="865"/>
      <c r="C96" s="652" t="s">
        <v>436</v>
      </c>
      <c r="D96" s="653"/>
      <c r="E96" s="653"/>
      <c r="F96" s="654"/>
      <c r="G96" s="655"/>
      <c r="H96" s="656"/>
      <c r="I96" s="657" t="s">
        <v>430</v>
      </c>
      <c r="J96" s="657" t="s">
        <v>430</v>
      </c>
      <c r="K96" s="657" t="s">
        <v>430</v>
      </c>
      <c r="L96" s="657" t="s">
        <v>430</v>
      </c>
      <c r="M96" s="657" t="s">
        <v>430</v>
      </c>
      <c r="N96" s="657" t="s">
        <v>430</v>
      </c>
    </row>
    <row r="97" spans="1:14" ht="21.6" thickBot="1" x14ac:dyDescent="0.45">
      <c r="A97" s="779"/>
      <c r="C97" s="652" t="s">
        <v>437</v>
      </c>
      <c r="D97" s="653"/>
      <c r="E97" s="653"/>
      <c r="F97" s="654"/>
      <c r="G97" s="655"/>
      <c r="H97" s="656"/>
      <c r="I97" s="657" t="s">
        <v>430</v>
      </c>
      <c r="J97" s="657" t="s">
        <v>430</v>
      </c>
      <c r="K97" s="657" t="s">
        <v>430</v>
      </c>
      <c r="L97" s="657" t="s">
        <v>430</v>
      </c>
      <c r="M97" s="657" t="s">
        <v>430</v>
      </c>
      <c r="N97" s="657" t="s">
        <v>430</v>
      </c>
    </row>
    <row r="98" spans="1:14" ht="21.6" thickBot="1" x14ac:dyDescent="0.45">
      <c r="A98" s="779"/>
      <c r="C98" s="652" t="s">
        <v>438</v>
      </c>
      <c r="D98" s="653"/>
      <c r="E98" s="653"/>
      <c r="F98" s="654"/>
      <c r="G98" s="655"/>
      <c r="H98" s="656"/>
      <c r="I98" s="657" t="s">
        <v>430</v>
      </c>
      <c r="J98" s="657" t="s">
        <v>430</v>
      </c>
      <c r="K98" s="657" t="s">
        <v>430</v>
      </c>
      <c r="L98" s="657" t="s">
        <v>430</v>
      </c>
      <c r="M98" s="657" t="s">
        <v>430</v>
      </c>
      <c r="N98" s="657" t="s">
        <v>430</v>
      </c>
    </row>
    <row r="99" spans="1:14" ht="21.6" thickBot="1" x14ac:dyDescent="0.45">
      <c r="A99" s="779"/>
      <c r="C99" s="652" t="s">
        <v>439</v>
      </c>
      <c r="D99" s="653"/>
      <c r="E99" s="653"/>
      <c r="F99" s="654"/>
      <c r="G99" s="655"/>
      <c r="H99" s="656"/>
      <c r="I99" s="657" t="s">
        <v>430</v>
      </c>
      <c r="J99" s="657" t="s">
        <v>430</v>
      </c>
      <c r="K99" s="657" t="s">
        <v>430</v>
      </c>
      <c r="L99" s="657" t="s">
        <v>430</v>
      </c>
      <c r="M99" s="657" t="s">
        <v>430</v>
      </c>
      <c r="N99" s="657" t="s">
        <v>430</v>
      </c>
    </row>
    <row r="100" spans="1:14" ht="21.6" thickBot="1" x14ac:dyDescent="0.45">
      <c r="A100" s="783"/>
      <c r="C100" s="301" t="s">
        <v>440</v>
      </c>
    </row>
    <row r="101" spans="1:14" ht="21.6" thickBot="1" x14ac:dyDescent="0.45">
      <c r="A101" s="783"/>
      <c r="C101" s="301" t="s">
        <v>441</v>
      </c>
    </row>
    <row r="102" spans="1:14" ht="21.6" thickBot="1" x14ac:dyDescent="0.45">
      <c r="A102" s="783"/>
      <c r="C102" s="617" t="s">
        <v>442</v>
      </c>
    </row>
    <row r="103" spans="1:14" ht="15" thickBot="1" x14ac:dyDescent="0.35">
      <c r="A103" s="783"/>
    </row>
    <row r="104" spans="1:14" ht="15" thickBot="1" x14ac:dyDescent="0.35">
      <c r="A104" s="783"/>
    </row>
    <row r="105" spans="1:14" ht="15" thickBot="1" x14ac:dyDescent="0.35">
      <c r="A105" s="783"/>
    </row>
  </sheetData>
  <pageMargins left="0.7" right="0.7" top="0.75" bottom="0.75" header="0.3" footer="0.3"/>
  <pageSetup paperSize="3" scale="67" fitToHeight="2"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E8F43-F1FF-4320-AEC4-5F44FB7D2E1A}">
  <dimension ref="B2:P39"/>
  <sheetViews>
    <sheetView topLeftCell="A3" zoomScale="70" zoomScaleNormal="70" workbookViewId="0">
      <selection activeCell="I9" sqref="I9"/>
    </sheetView>
  </sheetViews>
  <sheetFormatPr defaultRowHeight="14.4" x14ac:dyDescent="0.3"/>
  <cols>
    <col min="2" max="2" width="51.21875" customWidth="1"/>
    <col min="3" max="3" width="12.5546875" customWidth="1"/>
    <col min="4" max="4" width="16.21875" customWidth="1"/>
    <col min="5" max="7" width="12.5546875" customWidth="1"/>
    <col min="8" max="8" width="19.44140625" customWidth="1"/>
    <col min="9" max="9" width="25.109375" customWidth="1"/>
    <col min="10" max="10" width="18.109375" customWidth="1"/>
    <col min="11" max="11" width="17.109375" customWidth="1"/>
    <col min="12" max="12" width="18.21875" customWidth="1"/>
    <col min="13" max="13" width="15.44140625" customWidth="1"/>
    <col min="14" max="14" width="19.77734375" customWidth="1"/>
    <col min="15" max="16" width="12.5546875" customWidth="1"/>
  </cols>
  <sheetData>
    <row r="2" spans="2:16" ht="21" x14ac:dyDescent="0.4">
      <c r="B2" s="615" t="s">
        <v>446</v>
      </c>
    </row>
    <row r="4" spans="2:16" ht="18" x14ac:dyDescent="0.35">
      <c r="B4" s="661" t="s">
        <v>325</v>
      </c>
      <c r="C4" s="658"/>
      <c r="D4" s="658"/>
      <c r="E4" s="658"/>
      <c r="F4" s="678"/>
      <c r="G4" s="658"/>
      <c r="H4" s="658"/>
      <c r="I4" s="658"/>
      <c r="J4" s="658"/>
      <c r="K4" s="658"/>
      <c r="L4" s="658"/>
      <c r="M4" s="658"/>
      <c r="N4" s="658"/>
      <c r="O4" s="658"/>
      <c r="P4" s="658"/>
    </row>
    <row r="5" spans="2:16" ht="18" x14ac:dyDescent="0.35">
      <c r="B5" s="658"/>
      <c r="C5" s="658"/>
      <c r="D5" s="658"/>
      <c r="E5" s="658"/>
      <c r="F5" s="679" t="s">
        <v>327</v>
      </c>
      <c r="G5" s="658"/>
      <c r="H5" s="658"/>
      <c r="I5" s="658"/>
      <c r="J5" s="658"/>
      <c r="K5" s="658"/>
      <c r="L5" s="658"/>
      <c r="M5" s="658"/>
      <c r="N5" s="658"/>
      <c r="O5" s="658"/>
      <c r="P5" s="658"/>
    </row>
    <row r="6" spans="2:16" ht="18" x14ac:dyDescent="0.35">
      <c r="B6" s="658"/>
      <c r="C6" s="658"/>
      <c r="D6" s="658"/>
      <c r="E6" s="658"/>
      <c r="F6" s="679"/>
      <c r="G6" s="658"/>
      <c r="H6" s="658"/>
      <c r="I6" s="658"/>
      <c r="J6" s="658"/>
      <c r="K6" s="658"/>
      <c r="L6" s="658"/>
      <c r="M6" s="658"/>
      <c r="N6" s="658"/>
      <c r="O6" s="658"/>
      <c r="P6" s="658"/>
    </row>
    <row r="7" spans="2:16" ht="18.600000000000001" thickBot="1" x14ac:dyDescent="0.4">
      <c r="B7" s="661"/>
      <c r="C7" s="658"/>
      <c r="D7" s="658"/>
      <c r="E7" s="658"/>
      <c r="F7" s="658"/>
      <c r="G7" s="658"/>
      <c r="H7" s="658"/>
      <c r="I7" s="658"/>
      <c r="J7" s="658"/>
      <c r="K7" s="680" t="s">
        <v>328</v>
      </c>
      <c r="L7" s="680"/>
      <c r="M7" s="680"/>
      <c r="N7" s="680"/>
      <c r="O7" s="658"/>
      <c r="P7" s="658"/>
    </row>
    <row r="8" spans="2:16" ht="18" x14ac:dyDescent="0.35">
      <c r="B8" s="658"/>
      <c r="C8" s="933" t="s">
        <v>1142</v>
      </c>
      <c r="D8" s="934"/>
      <c r="E8" s="935"/>
      <c r="F8" s="935"/>
      <c r="G8" s="935"/>
      <c r="H8" s="935"/>
      <c r="I8" s="936"/>
      <c r="J8" s="658"/>
      <c r="K8" s="681" t="s">
        <v>330</v>
      </c>
      <c r="L8" s="681"/>
      <c r="M8" s="681"/>
      <c r="N8" s="681"/>
      <c r="O8" s="681"/>
      <c r="P8" s="658"/>
    </row>
    <row r="9" spans="2:16" ht="18" x14ac:dyDescent="0.35">
      <c r="B9" s="658"/>
      <c r="C9" s="682" t="s">
        <v>331</v>
      </c>
      <c r="D9" s="683" t="s">
        <v>332</v>
      </c>
      <c r="E9" s="684"/>
      <c r="F9" s="685"/>
      <c r="G9" s="683" t="s">
        <v>333</v>
      </c>
      <c r="H9" s="686"/>
      <c r="I9" s="687"/>
      <c r="J9" s="658"/>
      <c r="K9" s="658"/>
      <c r="L9" s="658"/>
      <c r="M9" s="658"/>
      <c r="N9" s="658"/>
      <c r="O9" s="658"/>
      <c r="P9" s="658"/>
    </row>
    <row r="10" spans="2:16" ht="18" x14ac:dyDescent="0.35">
      <c r="B10" s="1110"/>
      <c r="C10" s="688"/>
      <c r="D10" s="689" t="s">
        <v>1226</v>
      </c>
      <c r="E10" s="833">
        <f>'Operating '!X99</f>
        <v>1177425.6346638016</v>
      </c>
      <c r="F10" s="774">
        <f>E10/D22</f>
        <v>0.66695624396844422</v>
      </c>
      <c r="G10" s="690"/>
      <c r="H10" s="685"/>
      <c r="I10" s="839">
        <f>'Operating '!Y101</f>
        <v>925136</v>
      </c>
      <c r="J10" s="836">
        <f>I10/I12</f>
        <v>0.60659246126247102</v>
      </c>
      <c r="K10" s="679" t="s">
        <v>1133</v>
      </c>
      <c r="L10" s="658"/>
      <c r="M10" s="658"/>
      <c r="N10" s="658"/>
      <c r="O10" s="658"/>
      <c r="P10" s="658"/>
    </row>
    <row r="11" spans="2:16" ht="18" x14ac:dyDescent="0.35">
      <c r="B11" s="658"/>
      <c r="C11" s="688"/>
      <c r="D11" s="691" t="s">
        <v>1230</v>
      </c>
      <c r="E11" s="834">
        <f>'Operating '!X100</f>
        <v>587946</v>
      </c>
      <c r="F11" s="774">
        <f>E11/D22</f>
        <v>0.33304375603155578</v>
      </c>
      <c r="G11" s="692" t="s">
        <v>337</v>
      </c>
      <c r="H11" s="693"/>
      <c r="I11" s="840">
        <v>600000</v>
      </c>
      <c r="J11" s="836">
        <f>I11/I12</f>
        <v>0.39340753873752898</v>
      </c>
      <c r="K11" s="658"/>
      <c r="L11" s="658"/>
      <c r="M11" s="658"/>
      <c r="N11" s="658"/>
      <c r="O11" s="658"/>
      <c r="P11" s="658"/>
    </row>
    <row r="12" spans="2:16" ht="18" x14ac:dyDescent="0.35">
      <c r="B12" s="658"/>
      <c r="C12" s="694" t="s">
        <v>337</v>
      </c>
      <c r="D12" s="683" t="s">
        <v>332</v>
      </c>
      <c r="E12" s="695"/>
      <c r="F12" s="658"/>
      <c r="G12" s="658"/>
      <c r="H12" s="658"/>
      <c r="I12" s="696">
        <f>SUM(I10:I11)</f>
        <v>1525136</v>
      </c>
      <c r="J12" s="658"/>
      <c r="K12" s="658"/>
      <c r="L12" s="697"/>
      <c r="M12" s="658"/>
      <c r="N12" s="697"/>
      <c r="O12" s="658"/>
      <c r="P12" s="658"/>
    </row>
    <row r="13" spans="2:16" ht="18.600000000000001" thickBot="1" x14ac:dyDescent="0.4">
      <c r="B13" s="658"/>
      <c r="C13" s="688"/>
      <c r="D13" s="689" t="s">
        <v>335</v>
      </c>
      <c r="E13" s="830">
        <v>596889</v>
      </c>
      <c r="F13" s="658"/>
      <c r="G13" s="661"/>
      <c r="H13" s="658"/>
      <c r="I13" s="671"/>
      <c r="J13" s="661"/>
      <c r="K13" s="661"/>
      <c r="L13" s="697"/>
      <c r="M13" s="658"/>
      <c r="N13" s="658"/>
      <c r="O13" s="658"/>
      <c r="P13" s="658"/>
    </row>
    <row r="14" spans="2:16" ht="18.600000000000001" thickBot="1" x14ac:dyDescent="0.4">
      <c r="B14" s="658"/>
      <c r="C14" s="698"/>
      <c r="D14" s="699" t="s">
        <v>336</v>
      </c>
      <c r="E14" s="831">
        <v>85857</v>
      </c>
      <c r="F14" s="658"/>
      <c r="G14" s="1112" t="s">
        <v>1130</v>
      </c>
      <c r="H14" s="1113"/>
      <c r="I14" s="1114">
        <v>5339</v>
      </c>
      <c r="J14" s="1115">
        <v>5310</v>
      </c>
      <c r="K14" s="1116"/>
      <c r="L14" s="658"/>
      <c r="M14" s="697"/>
      <c r="N14" s="658"/>
      <c r="O14" s="658"/>
      <c r="P14" s="658"/>
    </row>
    <row r="15" spans="2:16" ht="18" x14ac:dyDescent="0.35">
      <c r="B15" s="658"/>
      <c r="C15" s="701" t="s">
        <v>339</v>
      </c>
      <c r="D15" s="702"/>
      <c r="E15" s="702"/>
      <c r="F15" s="702"/>
      <c r="G15" s="862" t="s">
        <v>335</v>
      </c>
      <c r="H15" s="1111">
        <v>2682893</v>
      </c>
      <c r="I15" s="703" t="s">
        <v>340</v>
      </c>
      <c r="J15" s="704"/>
      <c r="K15" s="1117">
        <f>H15/H17</f>
        <v>0.68753097600490387</v>
      </c>
      <c r="L15" s="658"/>
      <c r="M15" s="658"/>
      <c r="N15" s="658"/>
      <c r="O15" s="658"/>
      <c r="P15" s="658"/>
    </row>
    <row r="16" spans="2:16" ht="18" x14ac:dyDescent="0.35">
      <c r="B16" s="658"/>
      <c r="C16" s="666" t="s">
        <v>331</v>
      </c>
      <c r="D16" s="705">
        <v>31420</v>
      </c>
      <c r="E16" s="658" t="s">
        <v>341</v>
      </c>
      <c r="F16" s="658"/>
      <c r="G16" s="862" t="s">
        <v>336</v>
      </c>
      <c r="H16" s="1111">
        <v>1219321</v>
      </c>
      <c r="I16" s="706" t="s">
        <v>340</v>
      </c>
      <c r="J16" s="707" t="s">
        <v>340</v>
      </c>
      <c r="K16" s="1117">
        <f>H16/H17</f>
        <v>0.31246902399509613</v>
      </c>
      <c r="L16" s="658"/>
      <c r="M16" s="658"/>
      <c r="N16" s="658"/>
      <c r="O16" s="658"/>
      <c r="P16" s="658"/>
    </row>
    <row r="17" spans="2:16" ht="18.600000000000001" thickBot="1" x14ac:dyDescent="0.4">
      <c r="B17" s="658"/>
      <c r="C17" s="672" t="s">
        <v>337</v>
      </c>
      <c r="D17" s="709">
        <v>16643</v>
      </c>
      <c r="E17" s="674" t="s">
        <v>341</v>
      </c>
      <c r="F17" s="674"/>
      <c r="G17" s="1118" t="s">
        <v>342</v>
      </c>
      <c r="H17" s="1119">
        <f>SUM(H15:H16)</f>
        <v>3902214</v>
      </c>
      <c r="I17" s="1120">
        <v>345232</v>
      </c>
      <c r="J17" s="1120">
        <v>64333</v>
      </c>
      <c r="K17" s="1121"/>
      <c r="L17" s="658"/>
      <c r="M17" s="708"/>
      <c r="N17" s="697"/>
      <c r="O17" s="658"/>
      <c r="P17" s="658"/>
    </row>
    <row r="18" spans="2:16" ht="18" x14ac:dyDescent="0.35">
      <c r="B18" s="658"/>
      <c r="C18" s="658"/>
      <c r="D18" s="658"/>
      <c r="E18" s="658"/>
      <c r="F18" s="658"/>
      <c r="G18" s="658"/>
      <c r="H18" s="658"/>
      <c r="I18" s="658"/>
      <c r="J18" s="658"/>
      <c r="K18" s="658"/>
      <c r="L18" s="658"/>
      <c r="M18" s="658"/>
      <c r="N18" s="658"/>
      <c r="O18" s="658"/>
      <c r="P18" s="658"/>
    </row>
    <row r="19" spans="2:16" ht="18.600000000000001" thickBot="1" x14ac:dyDescent="0.4">
      <c r="B19" s="658"/>
      <c r="C19" s="658"/>
      <c r="D19" s="658"/>
      <c r="E19" s="658"/>
      <c r="F19" s="658"/>
      <c r="G19" s="658"/>
      <c r="H19" s="658"/>
      <c r="I19" s="658"/>
      <c r="J19" s="658"/>
      <c r="K19" s="658"/>
      <c r="L19" s="658"/>
      <c r="M19" s="658"/>
      <c r="N19" s="658"/>
      <c r="O19" s="658"/>
      <c r="P19" s="658"/>
    </row>
    <row r="20" spans="2:16" ht="18.600000000000001" thickBot="1" x14ac:dyDescent="0.4">
      <c r="B20" s="658"/>
      <c r="C20" s="972" t="s">
        <v>343</v>
      </c>
      <c r="D20" s="973"/>
      <c r="E20" s="974"/>
      <c r="F20" s="658"/>
      <c r="G20" s="658"/>
      <c r="H20" s="658"/>
      <c r="I20" s="658"/>
      <c r="J20" s="658"/>
      <c r="K20" s="658"/>
      <c r="L20" s="658"/>
      <c r="M20" s="658"/>
      <c r="N20" s="658"/>
      <c r="O20" s="658"/>
      <c r="P20" s="658"/>
    </row>
    <row r="21" spans="2:16" ht="18.600000000000001" thickBot="1" x14ac:dyDescent="0.4">
      <c r="B21" s="658"/>
      <c r="C21" s="967"/>
      <c r="D21" s="968" t="s">
        <v>344</v>
      </c>
      <c r="E21" s="969"/>
      <c r="F21" s="968" t="s">
        <v>345</v>
      </c>
      <c r="G21" s="970"/>
      <c r="H21" s="971" t="s">
        <v>346</v>
      </c>
      <c r="I21" s="971" t="s">
        <v>1134</v>
      </c>
      <c r="J21" s="669"/>
      <c r="K21" s="658"/>
      <c r="L21" s="658"/>
      <c r="M21" s="658"/>
      <c r="N21" s="658"/>
      <c r="O21" s="658"/>
      <c r="P21" s="658"/>
    </row>
    <row r="22" spans="2:16" ht="18" x14ac:dyDescent="0.35">
      <c r="B22" s="658"/>
      <c r="C22" s="710" t="s">
        <v>331</v>
      </c>
      <c r="D22" s="835">
        <f>E10+E11</f>
        <v>1765371.6346638016</v>
      </c>
      <c r="E22" s="711">
        <f>D22/D24</f>
        <v>0.72111389161503214</v>
      </c>
      <c r="F22" s="705">
        <f>D16</f>
        <v>31420</v>
      </c>
      <c r="G22" s="712">
        <f>F22/F24</f>
        <v>0.65372531885233964</v>
      </c>
      <c r="H22" s="713">
        <f>I10/(I10+I11)</f>
        <v>0.60659246126247102</v>
      </c>
      <c r="I22" s="938">
        <f>(E22+G22+H22)/3</f>
        <v>0.66047722390994756</v>
      </c>
      <c r="J22" s="836"/>
      <c r="K22" s="714"/>
      <c r="L22" s="658"/>
      <c r="M22" s="658"/>
      <c r="N22" s="658"/>
      <c r="O22" s="658"/>
      <c r="P22" s="658"/>
    </row>
    <row r="23" spans="2:16" ht="18" x14ac:dyDescent="0.35">
      <c r="B23" s="658"/>
      <c r="C23" s="684" t="s">
        <v>348</v>
      </c>
      <c r="D23" s="832">
        <f>E13+E14</f>
        <v>682746</v>
      </c>
      <c r="E23" s="715">
        <f>D23/D24</f>
        <v>0.2788861083849678</v>
      </c>
      <c r="F23" s="709">
        <f>D17</f>
        <v>16643</v>
      </c>
      <c r="G23" s="716">
        <f>F23/F24</f>
        <v>0.34627468114766036</v>
      </c>
      <c r="H23" s="837">
        <f>I11/(I10+I11)</f>
        <v>0.39340753873752898</v>
      </c>
      <c r="I23" s="939">
        <f>(E23+G23+H23)/3</f>
        <v>0.33952277609005233</v>
      </c>
      <c r="J23" s="836"/>
      <c r="K23" s="714"/>
      <c r="L23" s="658"/>
      <c r="M23" s="658"/>
      <c r="N23" s="658"/>
      <c r="O23" s="658"/>
      <c r="P23" s="658"/>
    </row>
    <row r="24" spans="2:16" ht="18" x14ac:dyDescent="0.35">
      <c r="B24" s="658"/>
      <c r="C24" s="717" t="s">
        <v>92</v>
      </c>
      <c r="D24" s="718">
        <f>SUM(D22:D23)</f>
        <v>2448117.6346638016</v>
      </c>
      <c r="E24" s="719"/>
      <c r="F24" s="718">
        <f>SUM(F22:F23)</f>
        <v>48063</v>
      </c>
      <c r="G24" s="784"/>
      <c r="H24" s="958"/>
      <c r="I24" s="784"/>
      <c r="J24" s="658"/>
      <c r="K24" s="658"/>
      <c r="L24" s="658"/>
      <c r="M24" s="658"/>
      <c r="N24" s="658"/>
      <c r="O24" s="658"/>
      <c r="P24" s="658"/>
    </row>
    <row r="25" spans="2:16" ht="18.600000000000001" thickBot="1" x14ac:dyDescent="0.4">
      <c r="B25" s="658"/>
      <c r="C25" s="658"/>
      <c r="D25" s="658"/>
      <c r="E25" s="658"/>
      <c r="F25" s="658"/>
      <c r="G25" s="658"/>
      <c r="H25" s="658"/>
      <c r="I25" s="658"/>
      <c r="J25" s="658"/>
      <c r="K25" s="658"/>
      <c r="L25" s="658"/>
      <c r="M25" s="658"/>
      <c r="N25" s="658"/>
      <c r="O25" s="658"/>
      <c r="P25" s="658"/>
    </row>
    <row r="26" spans="2:16" ht="18.600000000000001" thickBot="1" x14ac:dyDescent="0.4">
      <c r="B26" s="658"/>
      <c r="C26" s="975" t="s">
        <v>1131</v>
      </c>
      <c r="D26" s="976"/>
      <c r="E26" s="977"/>
      <c r="F26" s="658"/>
      <c r="G26" s="658"/>
      <c r="H26" s="921" t="s">
        <v>447</v>
      </c>
      <c r="I26" s="922"/>
      <c r="J26" s="922"/>
      <c r="K26" s="922"/>
      <c r="L26" s="922"/>
      <c r="M26" s="923"/>
      <c r="N26" s="658"/>
      <c r="O26" s="658"/>
      <c r="P26" s="658"/>
    </row>
    <row r="27" spans="2:16" ht="18" x14ac:dyDescent="0.35">
      <c r="B27" s="658"/>
      <c r="C27" s="720"/>
      <c r="D27" s="721" t="s">
        <v>351</v>
      </c>
      <c r="E27" s="721" t="s">
        <v>352</v>
      </c>
      <c r="F27" s="658"/>
      <c r="G27" s="658"/>
      <c r="H27" s="924"/>
      <c r="I27" s="925" t="s">
        <v>353</v>
      </c>
      <c r="J27" s="925" t="s">
        <v>354</v>
      </c>
      <c r="K27" s="925" t="s">
        <v>355</v>
      </c>
      <c r="L27" s="925">
        <v>5339</v>
      </c>
      <c r="M27" s="926">
        <v>5310</v>
      </c>
      <c r="N27" s="658"/>
      <c r="O27" s="658"/>
      <c r="P27" s="658"/>
    </row>
    <row r="28" spans="2:16" ht="18" x14ac:dyDescent="0.35">
      <c r="B28" s="658"/>
      <c r="C28" s="918" t="s">
        <v>331</v>
      </c>
      <c r="D28" s="916">
        <v>1300000</v>
      </c>
      <c r="E28" s="916">
        <f>(H17-D30)*I22</f>
        <v>1256369.0220026369</v>
      </c>
      <c r="F28" s="959"/>
      <c r="G28" s="658"/>
      <c r="H28" s="913" t="s">
        <v>331</v>
      </c>
      <c r="I28" s="914">
        <f>D28+E28</f>
        <v>2556369.0220026369</v>
      </c>
      <c r="J28" s="914">
        <f>I28*0.75</f>
        <v>1917276.7665019776</v>
      </c>
      <c r="K28" s="914">
        <f>I28*0.25</f>
        <v>639092.25550065923</v>
      </c>
      <c r="L28" s="914">
        <f>I17*I22</f>
        <v>228017.872964879</v>
      </c>
      <c r="M28" s="915">
        <v>64333</v>
      </c>
      <c r="N28" s="658"/>
      <c r="O28" s="700"/>
      <c r="P28" s="658"/>
    </row>
    <row r="29" spans="2:16" ht="18" x14ac:dyDescent="0.35">
      <c r="B29" s="658"/>
      <c r="C29" s="918" t="s">
        <v>348</v>
      </c>
      <c r="D29" s="916">
        <v>700000</v>
      </c>
      <c r="E29" s="916">
        <f>(H17-D30)*I23</f>
        <v>645844.97799736285</v>
      </c>
      <c r="F29" s="658"/>
      <c r="G29" s="734" t="s">
        <v>445</v>
      </c>
      <c r="H29" s="913" t="s">
        <v>348</v>
      </c>
      <c r="I29" s="916">
        <f>D29+E29</f>
        <v>1345844.9779973628</v>
      </c>
      <c r="J29" s="916">
        <f>I29*0.75</f>
        <v>1009383.7334980222</v>
      </c>
      <c r="K29" s="916">
        <f>I29*0.25</f>
        <v>336461.24449934071</v>
      </c>
      <c r="L29" s="916">
        <f>I17*I23</f>
        <v>117214.12703512094</v>
      </c>
      <c r="M29" s="917">
        <v>0</v>
      </c>
      <c r="N29" s="658"/>
      <c r="O29" s="700"/>
      <c r="P29" s="658"/>
    </row>
    <row r="30" spans="2:16" ht="18.600000000000001" thickBot="1" x14ac:dyDescent="0.4">
      <c r="B30" s="658"/>
      <c r="C30" s="919" t="s">
        <v>92</v>
      </c>
      <c r="D30" s="920">
        <f>SUM(D28:D29)</f>
        <v>2000000</v>
      </c>
      <c r="E30" s="920">
        <f>SUM(E28:E29)</f>
        <v>1902213.9999999998</v>
      </c>
      <c r="F30" s="658"/>
      <c r="G30" s="735" t="s">
        <v>443</v>
      </c>
      <c r="H30" s="927" t="s">
        <v>92</v>
      </c>
      <c r="I30" s="826">
        <f>SUM(I28:I29)</f>
        <v>3902214</v>
      </c>
      <c r="J30" s="928">
        <f>SUM(J28:J29)</f>
        <v>2926660.5</v>
      </c>
      <c r="K30" s="928">
        <f>SUM(K28:K29)</f>
        <v>975553.5</v>
      </c>
      <c r="L30" s="928">
        <f>SUM(L28:L29)</f>
        <v>345231.99999999994</v>
      </c>
      <c r="M30" s="929">
        <f>SUM(M28:M29)</f>
        <v>64333</v>
      </c>
      <c r="N30" s="658"/>
      <c r="O30" s="658"/>
      <c r="P30" s="658"/>
    </row>
    <row r="31" spans="2:16" ht="18" x14ac:dyDescent="0.35">
      <c r="B31" s="658"/>
      <c r="C31" s="658"/>
      <c r="D31" s="658"/>
      <c r="E31" s="838">
        <f>SUM(D30:E30)</f>
        <v>3902214</v>
      </c>
      <c r="F31" s="658"/>
      <c r="G31" s="829">
        <v>0.31</v>
      </c>
      <c r="H31" s="918" t="s">
        <v>1170</v>
      </c>
      <c r="I31" s="930">
        <f>I28*G31</f>
        <v>792474.39682081749</v>
      </c>
      <c r="J31" s="930">
        <f>J28*G31</f>
        <v>594355.79761561309</v>
      </c>
      <c r="K31" s="930">
        <f>K28*G31</f>
        <v>198118.59920520437</v>
      </c>
      <c r="L31" s="930">
        <f>L28*G31</f>
        <v>70685.540619112493</v>
      </c>
      <c r="M31" s="930">
        <f>M28*G31</f>
        <v>19943.23</v>
      </c>
      <c r="N31" s="658"/>
      <c r="O31" s="658"/>
      <c r="P31" s="658"/>
    </row>
    <row r="32" spans="2:16" ht="18" x14ac:dyDescent="0.35">
      <c r="B32" s="658"/>
      <c r="C32" s="658"/>
      <c r="D32" s="658"/>
      <c r="E32" s="658"/>
      <c r="F32" s="658"/>
      <c r="G32" s="829">
        <v>0.69</v>
      </c>
      <c r="H32" s="918" t="s">
        <v>1132</v>
      </c>
      <c r="I32" s="931">
        <f>I28*G32</f>
        <v>1763894.6251818193</v>
      </c>
      <c r="J32" s="931">
        <f>J28*G32</f>
        <v>1322920.9688863645</v>
      </c>
      <c r="K32" s="931">
        <f>K28*G32</f>
        <v>440973.65629545483</v>
      </c>
      <c r="L32" s="931">
        <f>L28*G32</f>
        <v>157332.33234576651</v>
      </c>
      <c r="M32" s="931">
        <f>M28*G32</f>
        <v>44389.77</v>
      </c>
      <c r="N32" s="658"/>
      <c r="O32" s="658"/>
      <c r="P32" s="658"/>
    </row>
    <row r="33" spans="2:16" ht="18" x14ac:dyDescent="0.35">
      <c r="B33" s="658"/>
      <c r="C33" s="658"/>
      <c r="D33" s="658"/>
      <c r="E33" s="658"/>
      <c r="F33" s="658"/>
      <c r="G33" s="658"/>
      <c r="H33" s="937" t="s">
        <v>1143</v>
      </c>
      <c r="I33" s="932">
        <f>SUM(I31:I32)</f>
        <v>2556369.0220026369</v>
      </c>
      <c r="J33" s="932">
        <f>SUM(J31:J32)</f>
        <v>1917276.7665019776</v>
      </c>
      <c r="K33" s="932">
        <f>SUM(K31:K32)</f>
        <v>639092.25550065923</v>
      </c>
      <c r="L33" s="932">
        <f>SUM(L31:L32)</f>
        <v>228017.872964879</v>
      </c>
      <c r="M33" s="932">
        <f>SUM(M31:M32)</f>
        <v>64333</v>
      </c>
      <c r="N33" s="658"/>
      <c r="O33" s="658"/>
      <c r="P33" s="658"/>
    </row>
    <row r="34" spans="2:16" ht="18" x14ac:dyDescent="0.35">
      <c r="B34" s="658"/>
      <c r="C34" s="658"/>
      <c r="D34" s="658"/>
      <c r="E34" s="658"/>
      <c r="F34" s="658"/>
      <c r="G34" s="736" t="s">
        <v>444</v>
      </c>
      <c r="N34" s="658"/>
      <c r="O34" s="658"/>
      <c r="P34" s="658"/>
    </row>
    <row r="36" spans="2:16" x14ac:dyDescent="0.3">
      <c r="I36" s="776"/>
    </row>
    <row r="37" spans="2:16" x14ac:dyDescent="0.3">
      <c r="I37" s="828"/>
    </row>
    <row r="38" spans="2:16" x14ac:dyDescent="0.3">
      <c r="I38" s="828"/>
    </row>
    <row r="39" spans="2:16" x14ac:dyDescent="0.3">
      <c r="I39" s="828"/>
    </row>
  </sheetData>
  <hyperlinks>
    <hyperlink ref="F5" r:id="rId1" xr:uid="{DA0687FE-C125-4E94-B42B-F1475C277800}"/>
  </hyperlink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21028-7ADE-41FC-92EB-C0D4BEBAF5AD}">
  <dimension ref="B2:O66"/>
  <sheetViews>
    <sheetView workbookViewId="0">
      <selection activeCell="B12" sqref="B12"/>
    </sheetView>
  </sheetViews>
  <sheetFormatPr defaultRowHeight="14.4" x14ac:dyDescent="0.3"/>
  <cols>
    <col min="3" max="3" width="18.21875" customWidth="1"/>
    <col min="7" max="8" width="11.88671875" bestFit="1" customWidth="1"/>
    <col min="11" max="11" width="11.88671875" bestFit="1" customWidth="1"/>
    <col min="15" max="15" width="11.88671875" bestFit="1" customWidth="1"/>
  </cols>
  <sheetData>
    <row r="2" spans="2:15" ht="18" x14ac:dyDescent="0.35">
      <c r="B2" s="736" t="s">
        <v>1237</v>
      </c>
    </row>
    <row r="3" spans="2:15" ht="18" x14ac:dyDescent="0.35">
      <c r="B3" s="736" t="s">
        <v>1238</v>
      </c>
    </row>
    <row r="4" spans="2:15" ht="18" x14ac:dyDescent="0.35">
      <c r="B4" s="736" t="s">
        <v>1239</v>
      </c>
    </row>
    <row r="5" spans="2:15" ht="12.45" customHeight="1" x14ac:dyDescent="0.3"/>
    <row r="6" spans="2:15" x14ac:dyDescent="0.3">
      <c r="D6" s="1179" t="s">
        <v>1185</v>
      </c>
      <c r="E6" s="1179"/>
      <c r="F6" s="1179"/>
      <c r="G6" s="1179"/>
      <c r="H6" s="1179"/>
      <c r="I6" s="1179"/>
      <c r="J6" s="1179"/>
      <c r="K6" s="1179"/>
    </row>
    <row r="7" spans="2:15" x14ac:dyDescent="0.3">
      <c r="D7" s="988" t="s">
        <v>1174</v>
      </c>
      <c r="E7" s="988"/>
      <c r="F7" s="988"/>
      <c r="G7" s="988"/>
      <c r="H7" s="989">
        <f>'FY27 Financial Forecast'!I69</f>
        <v>593775</v>
      </c>
      <c r="I7" s="988"/>
      <c r="J7" s="988"/>
      <c r="K7" s="988"/>
    </row>
    <row r="8" spans="2:15" x14ac:dyDescent="0.3">
      <c r="B8" s="138" t="s">
        <v>1147</v>
      </c>
      <c r="D8" s="1180" t="s">
        <v>1171</v>
      </c>
      <c r="E8" s="1180"/>
      <c r="F8" s="1180"/>
      <c r="G8" s="1180"/>
      <c r="H8" s="1181" t="s">
        <v>1172</v>
      </c>
      <c r="I8" s="1181"/>
      <c r="J8" s="1181"/>
      <c r="K8" s="1181"/>
      <c r="L8" s="1188" t="s">
        <v>1178</v>
      </c>
      <c r="M8" s="1188"/>
      <c r="N8" s="1188"/>
      <c r="O8" s="1188"/>
    </row>
    <row r="9" spans="2:15" x14ac:dyDescent="0.3">
      <c r="D9" s="981" t="s">
        <v>321</v>
      </c>
      <c r="E9" s="982" t="s">
        <v>8</v>
      </c>
      <c r="F9" s="982" t="s">
        <v>1173</v>
      </c>
      <c r="G9" s="983" t="s">
        <v>333</v>
      </c>
      <c r="H9" s="981" t="s">
        <v>321</v>
      </c>
      <c r="I9" s="982" t="s">
        <v>8</v>
      </c>
      <c r="J9" s="982" t="s">
        <v>1173</v>
      </c>
      <c r="K9" s="983" t="s">
        <v>333</v>
      </c>
      <c r="L9" s="981" t="s">
        <v>321</v>
      </c>
      <c r="M9" s="982" t="s">
        <v>8</v>
      </c>
      <c r="N9" s="982" t="s">
        <v>1173</v>
      </c>
      <c r="O9" s="983" t="s">
        <v>333</v>
      </c>
    </row>
    <row r="10" spans="2:15" x14ac:dyDescent="0.3">
      <c r="D10" s="984">
        <v>0.4</v>
      </c>
      <c r="E10" s="985">
        <v>0.45</v>
      </c>
      <c r="F10" s="985">
        <v>0.45</v>
      </c>
      <c r="G10" s="986">
        <v>0.4</v>
      </c>
      <c r="H10" s="987">
        <v>0.4</v>
      </c>
      <c r="I10" s="985">
        <v>0.45</v>
      </c>
      <c r="J10" s="985">
        <v>0.45</v>
      </c>
      <c r="K10" s="986">
        <v>0.2</v>
      </c>
      <c r="L10" s="987">
        <v>0.2</v>
      </c>
      <c r="M10" s="985">
        <v>0.1</v>
      </c>
      <c r="N10" s="985">
        <v>0.1</v>
      </c>
      <c r="O10" s="986">
        <v>0.4</v>
      </c>
    </row>
    <row r="11" spans="2:15" x14ac:dyDescent="0.3">
      <c r="D11" s="1182">
        <f>SUM(D10:G10)/4</f>
        <v>0.42500000000000004</v>
      </c>
      <c r="E11" s="1183"/>
      <c r="F11" s="1183"/>
      <c r="G11" s="1184"/>
      <c r="H11" s="1182">
        <f>SUM(H10:K10)/4</f>
        <v>0.375</v>
      </c>
      <c r="I11" s="1183"/>
      <c r="J11" s="1183"/>
      <c r="K11" s="1184"/>
      <c r="L11" s="1182">
        <f>SUM(L10:O10)/4</f>
        <v>0.2</v>
      </c>
      <c r="M11" s="1183"/>
      <c r="N11" s="1183"/>
      <c r="O11" s="1184"/>
    </row>
    <row r="12" spans="2:15" x14ac:dyDescent="0.3">
      <c r="D12" s="1185">
        <f>H7*D11</f>
        <v>252354.37500000003</v>
      </c>
      <c r="E12" s="1186"/>
      <c r="F12" s="1186"/>
      <c r="G12" s="1187"/>
      <c r="H12" s="1185">
        <f>H7*H11</f>
        <v>222665.625</v>
      </c>
      <c r="I12" s="1186"/>
      <c r="J12" s="1186"/>
      <c r="K12" s="1187"/>
      <c r="L12" s="1185">
        <f>H7*L11</f>
        <v>118755</v>
      </c>
      <c r="M12" s="1186"/>
      <c r="N12" s="1186"/>
      <c r="O12" s="1187"/>
    </row>
    <row r="13" spans="2:15" x14ac:dyDescent="0.3">
      <c r="C13" t="s">
        <v>1181</v>
      </c>
      <c r="D13" s="1174">
        <f>D12/2</f>
        <v>126177.18750000001</v>
      </c>
      <c r="E13" s="1149"/>
      <c r="F13" s="1149"/>
      <c r="G13" s="1175"/>
      <c r="H13" s="1174">
        <f>H12/2</f>
        <v>111332.8125</v>
      </c>
      <c r="I13" s="1149"/>
      <c r="J13" s="1149"/>
      <c r="K13" s="1175"/>
      <c r="L13" s="1174"/>
      <c r="M13" s="1149"/>
      <c r="N13" s="1149"/>
      <c r="O13" s="1175"/>
    </row>
    <row r="14" spans="2:15" x14ac:dyDescent="0.3">
      <c r="C14" t="s">
        <v>1180</v>
      </c>
      <c r="D14" s="1176">
        <f>D12/2</f>
        <v>126177.18750000001</v>
      </c>
      <c r="E14" s="1177"/>
      <c r="F14" s="1177"/>
      <c r="G14" s="1178"/>
      <c r="H14" s="1176">
        <f>H12/2</f>
        <v>111332.8125</v>
      </c>
      <c r="I14" s="1177"/>
      <c r="J14" s="1177"/>
      <c r="K14" s="1178"/>
      <c r="L14" s="1176">
        <f>L12</f>
        <v>118755</v>
      </c>
      <c r="M14" s="1177"/>
      <c r="N14" s="1177"/>
      <c r="O14" s="1178"/>
    </row>
    <row r="15" spans="2:15" x14ac:dyDescent="0.3">
      <c r="C15" s="138" t="s">
        <v>1179</v>
      </c>
      <c r="D15" s="138"/>
      <c r="E15" s="138"/>
      <c r="F15" s="138"/>
      <c r="G15" s="997">
        <f>D12</f>
        <v>252354.37500000003</v>
      </c>
      <c r="H15" s="138"/>
      <c r="I15" s="138"/>
      <c r="J15" s="138"/>
      <c r="K15" s="997">
        <f>H12</f>
        <v>222665.625</v>
      </c>
      <c r="L15" s="138"/>
      <c r="M15" s="138"/>
      <c r="N15" s="138"/>
      <c r="O15" s="997">
        <f>L12</f>
        <v>118755</v>
      </c>
    </row>
    <row r="18" spans="2:15" x14ac:dyDescent="0.3">
      <c r="D18" s="1179" t="s">
        <v>1184</v>
      </c>
      <c r="E18" s="1179"/>
      <c r="F18" s="1179"/>
      <c r="G18" s="1179"/>
      <c r="H18" s="1179"/>
      <c r="I18" s="1179"/>
      <c r="J18" s="1179"/>
      <c r="K18" s="1179"/>
    </row>
    <row r="19" spans="2:15" x14ac:dyDescent="0.3">
      <c r="D19" s="988" t="s">
        <v>1175</v>
      </c>
      <c r="E19" s="988"/>
      <c r="F19" s="988"/>
      <c r="G19" s="988"/>
      <c r="H19" s="989">
        <f>'FY27 Financial Forecast'!I70</f>
        <v>593775</v>
      </c>
      <c r="I19" s="988"/>
      <c r="J19" s="988"/>
      <c r="K19" s="988"/>
    </row>
    <row r="20" spans="2:15" x14ac:dyDescent="0.3">
      <c r="B20" s="138" t="s">
        <v>1148</v>
      </c>
      <c r="D20" s="1180" t="s">
        <v>1171</v>
      </c>
      <c r="E20" s="1180"/>
      <c r="F20" s="1180"/>
      <c r="G20" s="1180"/>
      <c r="H20" s="1181" t="s">
        <v>1172</v>
      </c>
      <c r="I20" s="1181"/>
      <c r="J20" s="1181"/>
      <c r="K20" s="1181"/>
      <c r="L20" s="1188" t="s">
        <v>1178</v>
      </c>
      <c r="M20" s="1188"/>
      <c r="N20" s="1188"/>
      <c r="O20" s="1188"/>
    </row>
    <row r="21" spans="2:15" x14ac:dyDescent="0.3">
      <c r="D21" s="981" t="s">
        <v>321</v>
      </c>
      <c r="E21" s="982" t="s">
        <v>8</v>
      </c>
      <c r="F21" s="982" t="s">
        <v>1173</v>
      </c>
      <c r="G21" s="983" t="s">
        <v>333</v>
      </c>
      <c r="H21" s="981" t="s">
        <v>321</v>
      </c>
      <c r="I21" s="982" t="s">
        <v>8</v>
      </c>
      <c r="J21" s="982" t="s">
        <v>1173</v>
      </c>
      <c r="K21" s="983" t="s">
        <v>333</v>
      </c>
      <c r="L21" s="981" t="s">
        <v>321</v>
      </c>
      <c r="M21" s="982" t="s">
        <v>8</v>
      </c>
      <c r="N21" s="982" t="s">
        <v>1173</v>
      </c>
      <c r="O21" s="983" t="s">
        <v>333</v>
      </c>
    </row>
    <row r="22" spans="2:15" x14ac:dyDescent="0.3">
      <c r="D22" s="984">
        <v>0.4</v>
      </c>
      <c r="E22" s="985">
        <v>0.45</v>
      </c>
      <c r="F22" s="985">
        <v>0.45</v>
      </c>
      <c r="G22" s="986">
        <v>0.4</v>
      </c>
      <c r="H22" s="987">
        <v>0.4</v>
      </c>
      <c r="I22" s="985">
        <v>0.45</v>
      </c>
      <c r="J22" s="985">
        <v>0.45</v>
      </c>
      <c r="K22" s="986">
        <v>0.2</v>
      </c>
      <c r="L22" s="987">
        <v>0.2</v>
      </c>
      <c r="M22" s="985">
        <v>0.1</v>
      </c>
      <c r="N22" s="985">
        <v>0.1</v>
      </c>
      <c r="O22" s="986">
        <v>0.4</v>
      </c>
    </row>
    <row r="23" spans="2:15" x14ac:dyDescent="0.3">
      <c r="D23" s="1182">
        <f>SUM(D22:G22)/4</f>
        <v>0.42500000000000004</v>
      </c>
      <c r="E23" s="1183"/>
      <c r="F23" s="1183"/>
      <c r="G23" s="1184"/>
      <c r="H23" s="1182">
        <f>SUM(H22:K22)/4</f>
        <v>0.375</v>
      </c>
      <c r="I23" s="1183"/>
      <c r="J23" s="1183"/>
      <c r="K23" s="1184"/>
      <c r="L23" s="1182">
        <f>SUM(L22:O22)/4</f>
        <v>0.2</v>
      </c>
      <c r="M23" s="1183"/>
      <c r="N23" s="1183"/>
      <c r="O23" s="1184"/>
    </row>
    <row r="24" spans="2:15" x14ac:dyDescent="0.3">
      <c r="D24" s="1185">
        <f>H19*D23</f>
        <v>252354.37500000003</v>
      </c>
      <c r="E24" s="1186"/>
      <c r="F24" s="1186"/>
      <c r="G24" s="1187"/>
      <c r="H24" s="1185">
        <f>H19*H23</f>
        <v>222665.625</v>
      </c>
      <c r="I24" s="1186"/>
      <c r="J24" s="1186"/>
      <c r="K24" s="1187"/>
      <c r="L24" s="1185">
        <f>H19*L23</f>
        <v>118755</v>
      </c>
      <c r="M24" s="1186"/>
      <c r="N24" s="1186"/>
      <c r="O24" s="1187"/>
    </row>
    <row r="25" spans="2:15" x14ac:dyDescent="0.3">
      <c r="C25" t="s">
        <v>1181</v>
      </c>
      <c r="D25" s="1174">
        <f>D24/2</f>
        <v>126177.18750000001</v>
      </c>
      <c r="E25" s="1149"/>
      <c r="F25" s="1149"/>
      <c r="G25" s="1175"/>
      <c r="H25" s="1174">
        <f>H24/2</f>
        <v>111332.8125</v>
      </c>
      <c r="I25" s="1149"/>
      <c r="J25" s="1149"/>
      <c r="K25" s="1175"/>
      <c r="L25" s="1174"/>
      <c r="M25" s="1149"/>
      <c r="N25" s="1149"/>
      <c r="O25" s="1175"/>
    </row>
    <row r="26" spans="2:15" x14ac:dyDescent="0.3">
      <c r="C26" t="s">
        <v>1180</v>
      </c>
      <c r="D26" s="1176">
        <f>D24/2</f>
        <v>126177.18750000001</v>
      </c>
      <c r="E26" s="1177"/>
      <c r="F26" s="1177"/>
      <c r="G26" s="1178"/>
      <c r="H26" s="1176">
        <f>H24/2</f>
        <v>111332.8125</v>
      </c>
      <c r="I26" s="1177"/>
      <c r="J26" s="1177"/>
      <c r="K26" s="1178"/>
      <c r="L26" s="1176">
        <f>L24</f>
        <v>118755</v>
      </c>
      <c r="M26" s="1177"/>
      <c r="N26" s="1177"/>
      <c r="O26" s="1178"/>
    </row>
    <row r="27" spans="2:15" x14ac:dyDescent="0.3">
      <c r="C27" s="138" t="s">
        <v>1179</v>
      </c>
      <c r="D27" s="138"/>
      <c r="E27" s="138"/>
      <c r="F27" s="138"/>
      <c r="G27" s="997">
        <f>D24</f>
        <v>252354.37500000003</v>
      </c>
      <c r="H27" s="138"/>
      <c r="I27" s="138"/>
      <c r="J27" s="138"/>
      <c r="K27" s="997">
        <f>H24</f>
        <v>222665.625</v>
      </c>
      <c r="L27" s="138"/>
      <c r="M27" s="138"/>
      <c r="N27" s="138"/>
      <c r="O27" s="997">
        <f>L24</f>
        <v>118755</v>
      </c>
    </row>
    <row r="29" spans="2:15" x14ac:dyDescent="0.3">
      <c r="D29" s="1179" t="s">
        <v>1177</v>
      </c>
      <c r="E29" s="1179"/>
      <c r="F29" s="1179"/>
      <c r="G29" s="1179"/>
      <c r="H29" s="1179"/>
      <c r="I29" s="1179"/>
      <c r="J29" s="1179"/>
      <c r="K29" s="1179"/>
    </row>
    <row r="30" spans="2:15" x14ac:dyDescent="0.3">
      <c r="D30" s="988" t="s">
        <v>1175</v>
      </c>
      <c r="E30" s="988"/>
      <c r="F30" s="988"/>
      <c r="G30" s="988"/>
      <c r="H30" s="989">
        <f>'FY27 Financial Forecast'!I72</f>
        <v>446775</v>
      </c>
      <c r="I30" s="988"/>
      <c r="J30" s="988"/>
      <c r="K30" s="988"/>
    </row>
    <row r="31" spans="2:15" x14ac:dyDescent="0.3">
      <c r="B31" s="138" t="s">
        <v>1149</v>
      </c>
      <c r="D31" s="1180" t="s">
        <v>1176</v>
      </c>
      <c r="E31" s="1180"/>
      <c r="F31" s="1180"/>
      <c r="G31" s="1180"/>
      <c r="H31" s="1181" t="s">
        <v>1172</v>
      </c>
      <c r="I31" s="1181"/>
      <c r="J31" s="1181"/>
      <c r="K31" s="1181"/>
      <c r="L31" s="1188" t="s">
        <v>1178</v>
      </c>
      <c r="M31" s="1188"/>
      <c r="N31" s="1188"/>
      <c r="O31" s="1188"/>
    </row>
    <row r="32" spans="2:15" x14ac:dyDescent="0.3">
      <c r="D32" s="981" t="s">
        <v>321</v>
      </c>
      <c r="E32" s="982" t="s">
        <v>8</v>
      </c>
      <c r="F32" s="982" t="s">
        <v>1173</v>
      </c>
      <c r="G32" s="983" t="s">
        <v>333</v>
      </c>
      <c r="H32" s="981" t="s">
        <v>321</v>
      </c>
      <c r="I32" s="982" t="s">
        <v>8</v>
      </c>
      <c r="J32" s="982" t="s">
        <v>1173</v>
      </c>
      <c r="K32" s="983" t="s">
        <v>333</v>
      </c>
      <c r="L32" s="981" t="s">
        <v>321</v>
      </c>
      <c r="M32" s="982" t="s">
        <v>8</v>
      </c>
      <c r="N32" s="982" t="s">
        <v>1173</v>
      </c>
      <c r="O32" s="983" t="s">
        <v>333</v>
      </c>
    </row>
    <row r="33" spans="2:15" x14ac:dyDescent="0.3">
      <c r="D33" s="984">
        <v>1</v>
      </c>
      <c r="E33" s="985">
        <v>1</v>
      </c>
      <c r="F33" s="985">
        <v>1</v>
      </c>
      <c r="G33" s="986">
        <v>1</v>
      </c>
      <c r="H33" s="987"/>
      <c r="I33" s="985"/>
      <c r="J33" s="985"/>
      <c r="K33" s="986"/>
      <c r="L33" s="987"/>
      <c r="M33" s="985"/>
      <c r="N33" s="985"/>
      <c r="O33" s="986"/>
    </row>
    <row r="34" spans="2:15" x14ac:dyDescent="0.3">
      <c r="D34" s="1182">
        <f>SUM(D33:G33)/4</f>
        <v>1</v>
      </c>
      <c r="E34" s="1183"/>
      <c r="F34" s="1183"/>
      <c r="G34" s="1184"/>
      <c r="H34" s="1182"/>
      <c r="I34" s="1183"/>
      <c r="J34" s="1183"/>
      <c r="K34" s="1184"/>
      <c r="L34" s="1182"/>
      <c r="M34" s="1183"/>
      <c r="N34" s="1183"/>
      <c r="O34" s="1184"/>
    </row>
    <row r="35" spans="2:15" x14ac:dyDescent="0.3">
      <c r="D35" s="1185">
        <f>H30</f>
        <v>446775</v>
      </c>
      <c r="E35" s="1186"/>
      <c r="F35" s="1186"/>
      <c r="G35" s="1187"/>
      <c r="H35" s="1185"/>
      <c r="I35" s="1186"/>
      <c r="J35" s="1186"/>
      <c r="K35" s="1187"/>
      <c r="L35" s="1185"/>
      <c r="M35" s="1186"/>
      <c r="N35" s="1186"/>
      <c r="O35" s="1187"/>
    </row>
    <row r="36" spans="2:15" x14ac:dyDescent="0.3">
      <c r="C36" t="s">
        <v>1182</v>
      </c>
      <c r="D36" s="1174">
        <f>D35/2</f>
        <v>223387.5</v>
      </c>
      <c r="E36" s="1149"/>
      <c r="F36" s="1149"/>
      <c r="G36" s="1175"/>
      <c r="H36" s="1174"/>
      <c r="I36" s="1149"/>
      <c r="J36" s="1149"/>
      <c r="K36" s="1175"/>
      <c r="L36" s="1174"/>
      <c r="M36" s="1149"/>
      <c r="N36" s="1149"/>
      <c r="O36" s="1175"/>
    </row>
    <row r="37" spans="2:15" x14ac:dyDescent="0.3">
      <c r="C37" t="s">
        <v>1180</v>
      </c>
      <c r="D37" s="1176">
        <f>D35/2</f>
        <v>223387.5</v>
      </c>
      <c r="E37" s="1177"/>
      <c r="F37" s="1177"/>
      <c r="G37" s="1178"/>
      <c r="H37" s="1176"/>
      <c r="I37" s="1177"/>
      <c r="J37" s="1177"/>
      <c r="K37" s="1178"/>
      <c r="L37" s="1176"/>
      <c r="M37" s="1177"/>
      <c r="N37" s="1177"/>
      <c r="O37" s="1178"/>
    </row>
    <row r="38" spans="2:15" x14ac:dyDescent="0.3">
      <c r="C38" s="138" t="s">
        <v>1179</v>
      </c>
      <c r="D38" s="138"/>
      <c r="E38" s="138"/>
      <c r="F38" s="138"/>
      <c r="G38" s="997">
        <f>D35</f>
        <v>446775</v>
      </c>
      <c r="K38" s="996">
        <f>H35</f>
        <v>0</v>
      </c>
      <c r="O38" s="996">
        <f>L35</f>
        <v>0</v>
      </c>
    </row>
    <row r="41" spans="2:15" x14ac:dyDescent="0.3">
      <c r="D41" s="1179" t="s">
        <v>1186</v>
      </c>
      <c r="E41" s="1179"/>
      <c r="F41" s="1179"/>
      <c r="G41" s="1179"/>
      <c r="H41" s="1179"/>
      <c r="I41" s="1179"/>
      <c r="J41" s="1179"/>
      <c r="K41" s="1179"/>
    </row>
    <row r="42" spans="2:15" x14ac:dyDescent="0.3">
      <c r="D42" s="988" t="s">
        <v>1174</v>
      </c>
      <c r="E42" s="988"/>
      <c r="F42" s="988"/>
      <c r="G42" s="988"/>
      <c r="H42" s="989">
        <f>(30*3000*12)/3</f>
        <v>360000</v>
      </c>
      <c r="I42" s="988"/>
      <c r="J42" s="988"/>
      <c r="K42" s="988"/>
    </row>
    <row r="43" spans="2:15" x14ac:dyDescent="0.3">
      <c r="B43" s="138" t="s">
        <v>1183</v>
      </c>
      <c r="D43" s="1180" t="s">
        <v>1171</v>
      </c>
      <c r="E43" s="1180"/>
      <c r="F43" s="1180"/>
      <c r="G43" s="1180"/>
      <c r="H43" s="1181" t="s">
        <v>1172</v>
      </c>
      <c r="I43" s="1181"/>
      <c r="J43" s="1181"/>
      <c r="K43" s="1181"/>
      <c r="L43" s="1188" t="s">
        <v>1178</v>
      </c>
      <c r="M43" s="1188"/>
      <c r="N43" s="1188"/>
      <c r="O43" s="1188"/>
    </row>
    <row r="44" spans="2:15" x14ac:dyDescent="0.3">
      <c r="D44" s="981" t="s">
        <v>321</v>
      </c>
      <c r="E44" s="982" t="s">
        <v>8</v>
      </c>
      <c r="F44" s="982" t="s">
        <v>1173</v>
      </c>
      <c r="G44" s="983" t="s">
        <v>333</v>
      </c>
      <c r="H44" s="981" t="s">
        <v>321</v>
      </c>
      <c r="I44" s="982" t="s">
        <v>8</v>
      </c>
      <c r="J44" s="982" t="s">
        <v>1173</v>
      </c>
      <c r="K44" s="983" t="s">
        <v>333</v>
      </c>
      <c r="L44" s="981" t="s">
        <v>321</v>
      </c>
      <c r="M44" s="982" t="s">
        <v>8</v>
      </c>
      <c r="N44" s="982" t="s">
        <v>1173</v>
      </c>
      <c r="O44" s="983" t="s">
        <v>333</v>
      </c>
    </row>
    <row r="45" spans="2:15" x14ac:dyDescent="0.3">
      <c r="D45" s="984">
        <v>0.4</v>
      </c>
      <c r="E45" s="985">
        <v>0.45</v>
      </c>
      <c r="F45" s="985">
        <v>0.45</v>
      </c>
      <c r="G45" s="986">
        <v>0.4</v>
      </c>
      <c r="H45" s="987">
        <v>0.4</v>
      </c>
      <c r="I45" s="985">
        <v>0.45</v>
      </c>
      <c r="J45" s="985">
        <v>0.45</v>
      </c>
      <c r="K45" s="986">
        <v>0.2</v>
      </c>
      <c r="L45" s="987">
        <v>0.2</v>
      </c>
      <c r="M45" s="985">
        <v>0.1</v>
      </c>
      <c r="N45" s="985">
        <v>0.1</v>
      </c>
      <c r="O45" s="986">
        <v>0.4</v>
      </c>
    </row>
    <row r="46" spans="2:15" x14ac:dyDescent="0.3">
      <c r="D46" s="1182">
        <f>SUM(D45:G45)/4</f>
        <v>0.42500000000000004</v>
      </c>
      <c r="E46" s="1183"/>
      <c r="F46" s="1183"/>
      <c r="G46" s="1184"/>
      <c r="H46" s="1182">
        <f>SUM(H45:K45)/4</f>
        <v>0.375</v>
      </c>
      <c r="I46" s="1183"/>
      <c r="J46" s="1183"/>
      <c r="K46" s="1184"/>
      <c r="L46" s="1182">
        <f>SUM(L45:O45)/4</f>
        <v>0.2</v>
      </c>
      <c r="M46" s="1183"/>
      <c r="N46" s="1183"/>
      <c r="O46" s="1184"/>
    </row>
    <row r="47" spans="2:15" x14ac:dyDescent="0.3">
      <c r="D47" s="1185">
        <f>H42*D46</f>
        <v>153000.00000000003</v>
      </c>
      <c r="E47" s="1186"/>
      <c r="F47" s="1186"/>
      <c r="G47" s="1187"/>
      <c r="H47" s="1185">
        <f>H42*H46</f>
        <v>135000</v>
      </c>
      <c r="I47" s="1186"/>
      <c r="J47" s="1186"/>
      <c r="K47" s="1187"/>
      <c r="L47" s="1185">
        <f>H42*L46</f>
        <v>72000</v>
      </c>
      <c r="M47" s="1186"/>
      <c r="N47" s="1186"/>
      <c r="O47" s="1187"/>
    </row>
    <row r="48" spans="2:15" x14ac:dyDescent="0.3">
      <c r="C48" t="s">
        <v>1181</v>
      </c>
      <c r="D48" s="1174">
        <f>D47/2</f>
        <v>76500.000000000015</v>
      </c>
      <c r="E48" s="1149"/>
      <c r="F48" s="1149"/>
      <c r="G48" s="1175"/>
      <c r="H48" s="1174">
        <f>H47/2</f>
        <v>67500</v>
      </c>
      <c r="I48" s="1149"/>
      <c r="J48" s="1149"/>
      <c r="K48" s="1175"/>
      <c r="L48" s="1174"/>
      <c r="M48" s="1149"/>
      <c r="N48" s="1149"/>
      <c r="O48" s="1175"/>
    </row>
    <row r="49" spans="3:15" x14ac:dyDescent="0.3">
      <c r="C49" t="s">
        <v>1180</v>
      </c>
      <c r="D49" s="1176">
        <f>D47/2</f>
        <v>76500.000000000015</v>
      </c>
      <c r="E49" s="1177"/>
      <c r="F49" s="1177"/>
      <c r="G49" s="1178"/>
      <c r="H49" s="1176">
        <f>H47/2</f>
        <v>67500</v>
      </c>
      <c r="I49" s="1177"/>
      <c r="J49" s="1177"/>
      <c r="K49" s="1178"/>
      <c r="L49" s="1176">
        <f>L47</f>
        <v>72000</v>
      </c>
      <c r="M49" s="1177"/>
      <c r="N49" s="1177"/>
      <c r="O49" s="1178"/>
    </row>
    <row r="50" spans="3:15" x14ac:dyDescent="0.3">
      <c r="C50" s="138" t="s">
        <v>1179</v>
      </c>
      <c r="D50" s="138"/>
      <c r="E50" s="138"/>
      <c r="F50" s="138"/>
      <c r="G50" s="997">
        <f>D47</f>
        <v>153000.00000000003</v>
      </c>
      <c r="H50" s="138"/>
      <c r="I50" s="138"/>
      <c r="J50" s="138"/>
      <c r="K50" s="997">
        <f>H47</f>
        <v>135000</v>
      </c>
      <c r="L50" s="138"/>
      <c r="M50" s="138"/>
      <c r="N50" s="138"/>
      <c r="O50" s="997">
        <f>L47</f>
        <v>72000</v>
      </c>
    </row>
    <row r="65" spans="3:3" x14ac:dyDescent="0.3">
      <c r="C65" t="s">
        <v>1187</v>
      </c>
    </row>
    <row r="66" spans="3:3" x14ac:dyDescent="0.3">
      <c r="C66" t="s">
        <v>1188</v>
      </c>
    </row>
  </sheetData>
  <mergeCells count="64">
    <mergeCell ref="D49:G49"/>
    <mergeCell ref="H49:K49"/>
    <mergeCell ref="L49:O49"/>
    <mergeCell ref="D47:G47"/>
    <mergeCell ref="H47:K47"/>
    <mergeCell ref="L47:O47"/>
    <mergeCell ref="D48:G48"/>
    <mergeCell ref="H48:K48"/>
    <mergeCell ref="L48:O48"/>
    <mergeCell ref="D41:K41"/>
    <mergeCell ref="D43:G43"/>
    <mergeCell ref="H43:K43"/>
    <mergeCell ref="L43:O43"/>
    <mergeCell ref="D46:G46"/>
    <mergeCell ref="H46:K46"/>
    <mergeCell ref="L46:O46"/>
    <mergeCell ref="L31:O31"/>
    <mergeCell ref="L34:O34"/>
    <mergeCell ref="L35:O35"/>
    <mergeCell ref="L36:O36"/>
    <mergeCell ref="L37:O37"/>
    <mergeCell ref="L20:O20"/>
    <mergeCell ref="L23:O23"/>
    <mergeCell ref="L24:O24"/>
    <mergeCell ref="L25:O25"/>
    <mergeCell ref="L26:O26"/>
    <mergeCell ref="L8:O8"/>
    <mergeCell ref="L11:O11"/>
    <mergeCell ref="L12:O12"/>
    <mergeCell ref="L13:O13"/>
    <mergeCell ref="L14:O14"/>
    <mergeCell ref="D8:G8"/>
    <mergeCell ref="H8:K8"/>
    <mergeCell ref="D6:K6"/>
    <mergeCell ref="D11:G11"/>
    <mergeCell ref="H11:K11"/>
    <mergeCell ref="D12:G12"/>
    <mergeCell ref="H12:K12"/>
    <mergeCell ref="D13:G13"/>
    <mergeCell ref="D14:G14"/>
    <mergeCell ref="H13:K13"/>
    <mergeCell ref="H14:K14"/>
    <mergeCell ref="D18:K18"/>
    <mergeCell ref="D20:G20"/>
    <mergeCell ref="H20:K20"/>
    <mergeCell ref="D23:G23"/>
    <mergeCell ref="H23:K23"/>
    <mergeCell ref="D24:G24"/>
    <mergeCell ref="H24:K24"/>
    <mergeCell ref="D25:G25"/>
    <mergeCell ref="H25:K25"/>
    <mergeCell ref="D26:G26"/>
    <mergeCell ref="H26:K26"/>
    <mergeCell ref="D36:G36"/>
    <mergeCell ref="H36:K36"/>
    <mergeCell ref="D37:G37"/>
    <mergeCell ref="H37:K37"/>
    <mergeCell ref="D29:K29"/>
    <mergeCell ref="D31:G31"/>
    <mergeCell ref="H31:K31"/>
    <mergeCell ref="D34:G34"/>
    <mergeCell ref="H34:K34"/>
    <mergeCell ref="D35:G35"/>
    <mergeCell ref="H35:K3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1175D-C208-4E8B-B6FC-C05F6C8FCD4F}">
  <dimension ref="A1:N27"/>
  <sheetViews>
    <sheetView workbookViewId="0">
      <selection activeCell="I7" sqref="I7"/>
    </sheetView>
  </sheetViews>
  <sheetFormatPr defaultRowHeight="14.4" x14ac:dyDescent="0.3"/>
  <cols>
    <col min="2" max="2" width="11.6640625" customWidth="1"/>
    <col min="3" max="3" width="11.109375" bestFit="1" customWidth="1"/>
    <col min="4" max="4" width="12.5546875" customWidth="1"/>
    <col min="6" max="6" width="8.44140625" customWidth="1"/>
    <col min="7" max="7" width="14.6640625" customWidth="1"/>
    <col min="8" max="8" width="12.88671875" customWidth="1"/>
    <col min="9" max="10" width="15.5546875" customWidth="1"/>
    <col min="11" max="11" width="12.109375" customWidth="1"/>
    <col min="12" max="12" width="12.5546875" customWidth="1"/>
    <col min="14" max="14" width="10.109375" bestFit="1" customWidth="1"/>
  </cols>
  <sheetData>
    <row r="1" spans="1:14" x14ac:dyDescent="0.3">
      <c r="A1" s="541" t="s">
        <v>325</v>
      </c>
      <c r="B1" s="479"/>
      <c r="C1" s="479"/>
      <c r="D1" s="479"/>
      <c r="E1" s="566" t="s">
        <v>361</v>
      </c>
      <c r="F1" s="479"/>
      <c r="G1" s="479"/>
      <c r="H1" s="479"/>
      <c r="I1" s="479"/>
      <c r="J1" s="479"/>
      <c r="K1" s="479"/>
      <c r="L1" s="479"/>
      <c r="M1" s="479"/>
      <c r="N1" s="479"/>
    </row>
    <row r="2" spans="1:14" x14ac:dyDescent="0.3">
      <c r="A2" s="479"/>
      <c r="B2" s="479"/>
      <c r="C2" s="479"/>
      <c r="D2" s="479"/>
      <c r="E2" s="555" t="s">
        <v>327</v>
      </c>
      <c r="F2" s="479"/>
      <c r="G2" s="479"/>
      <c r="H2" s="479"/>
      <c r="I2" s="479"/>
      <c r="J2" s="479"/>
      <c r="K2" s="479"/>
      <c r="L2" s="479"/>
      <c r="M2" s="479"/>
      <c r="N2" s="479"/>
    </row>
    <row r="3" spans="1:14" x14ac:dyDescent="0.3">
      <c r="A3" s="479"/>
      <c r="B3" s="479"/>
      <c r="C3" s="479"/>
      <c r="D3" s="479"/>
      <c r="E3" s="555"/>
      <c r="F3" s="479"/>
      <c r="G3" s="479"/>
      <c r="H3" s="479"/>
      <c r="I3" s="479"/>
      <c r="J3" s="479"/>
      <c r="K3" s="479"/>
      <c r="L3" s="479"/>
      <c r="M3" s="479"/>
      <c r="N3" s="479"/>
    </row>
    <row r="4" spans="1:14" ht="15" thickBot="1" x14ac:dyDescent="0.35">
      <c r="A4" s="541"/>
      <c r="B4" s="479"/>
      <c r="C4" s="479"/>
      <c r="D4" s="479"/>
      <c r="E4" s="479"/>
      <c r="F4" s="479"/>
      <c r="G4" s="479"/>
      <c r="H4" s="479"/>
      <c r="I4" s="479"/>
      <c r="J4" s="960"/>
      <c r="K4" s="960"/>
      <c r="L4" s="960"/>
      <c r="M4" s="960"/>
      <c r="N4" s="961"/>
    </row>
    <row r="5" spans="1:14" x14ac:dyDescent="0.3">
      <c r="A5" s="479"/>
      <c r="B5" s="565" t="s">
        <v>360</v>
      </c>
      <c r="C5" s="564"/>
      <c r="D5" s="563"/>
      <c r="E5" s="563"/>
      <c r="F5" s="563"/>
      <c r="G5" s="563"/>
      <c r="H5" s="562"/>
      <c r="I5" s="479"/>
      <c r="J5" s="960"/>
      <c r="K5" s="960"/>
      <c r="L5" s="960"/>
      <c r="M5" s="960"/>
      <c r="N5" s="960"/>
    </row>
    <row r="6" spans="1:14" x14ac:dyDescent="0.3">
      <c r="A6" s="479"/>
      <c r="B6" s="561" t="s">
        <v>331</v>
      </c>
      <c r="C6" s="548" t="s">
        <v>332</v>
      </c>
      <c r="D6" s="509"/>
      <c r="E6" s="557"/>
      <c r="F6" s="548" t="s">
        <v>333</v>
      </c>
      <c r="G6" s="560"/>
      <c r="H6" s="559"/>
      <c r="I6" s="479"/>
      <c r="J6" s="479"/>
      <c r="K6" s="479"/>
      <c r="L6" s="479"/>
      <c r="M6" s="479"/>
      <c r="N6" s="479"/>
    </row>
    <row r="7" spans="1:14" x14ac:dyDescent="0.3">
      <c r="A7" s="479"/>
      <c r="B7" s="545"/>
      <c r="C7" s="544" t="s">
        <v>335</v>
      </c>
      <c r="D7" s="543">
        <v>266378.81149177969</v>
      </c>
      <c r="E7" s="541"/>
      <c r="F7" s="558" t="s">
        <v>331</v>
      </c>
      <c r="G7" s="557"/>
      <c r="H7" s="556">
        <f>269576</f>
        <v>269576</v>
      </c>
      <c r="I7" s="479"/>
      <c r="J7" s="555"/>
      <c r="K7" s="517"/>
      <c r="L7" s="479"/>
      <c r="M7" s="479"/>
      <c r="N7" s="479"/>
    </row>
    <row r="8" spans="1:14" x14ac:dyDescent="0.3">
      <c r="A8" s="479"/>
      <c r="B8" s="545"/>
      <c r="C8" s="554" t="s">
        <v>336</v>
      </c>
      <c r="D8" s="553">
        <v>157442.18850822031</v>
      </c>
      <c r="E8" s="541"/>
      <c r="F8" s="552" t="s">
        <v>337</v>
      </c>
      <c r="G8" s="551"/>
      <c r="H8" s="550">
        <v>490752</v>
      </c>
      <c r="I8" s="479"/>
      <c r="J8" s="479"/>
      <c r="K8" s="517"/>
      <c r="L8" s="479"/>
      <c r="M8" s="479"/>
      <c r="N8" s="479"/>
    </row>
    <row r="9" spans="1:14" x14ac:dyDescent="0.3">
      <c r="A9" s="479"/>
      <c r="B9" s="549" t="s">
        <v>337</v>
      </c>
      <c r="C9" s="548" t="s">
        <v>332</v>
      </c>
      <c r="D9" s="547"/>
      <c r="E9" s="479"/>
      <c r="F9" s="479"/>
      <c r="G9" s="479"/>
      <c r="H9" s="546">
        <f>SUM(H7:H8)</f>
        <v>760328</v>
      </c>
      <c r="I9" s="479"/>
      <c r="J9" s="479"/>
      <c r="K9" s="517"/>
      <c r="L9" s="479"/>
      <c r="M9" s="517"/>
      <c r="N9" s="479"/>
    </row>
    <row r="10" spans="1:14" ht="15" thickBot="1" x14ac:dyDescent="0.35">
      <c r="A10" s="479"/>
      <c r="B10" s="545"/>
      <c r="C10" s="544" t="s">
        <v>335</v>
      </c>
      <c r="D10" s="543">
        <v>625051</v>
      </c>
      <c r="E10" s="479"/>
      <c r="F10" s="541"/>
      <c r="G10" s="479"/>
      <c r="H10" s="542"/>
      <c r="I10" s="541"/>
      <c r="J10" s="541"/>
      <c r="K10" s="517"/>
      <c r="L10" s="479"/>
      <c r="M10" s="479"/>
      <c r="N10" s="479"/>
    </row>
    <row r="11" spans="1:14" ht="15" thickBot="1" x14ac:dyDescent="0.35">
      <c r="A11" s="479"/>
      <c r="B11" s="540"/>
      <c r="C11" s="539" t="s">
        <v>336</v>
      </c>
      <c r="D11" s="538">
        <v>85334</v>
      </c>
      <c r="E11" s="528"/>
      <c r="F11" s="537" t="s">
        <v>338</v>
      </c>
      <c r="G11" s="536"/>
      <c r="H11" s="535">
        <v>5339</v>
      </c>
      <c r="I11" s="534">
        <v>5310</v>
      </c>
      <c r="J11" s="484"/>
      <c r="K11" s="479"/>
      <c r="L11" s="517"/>
      <c r="M11" s="479"/>
      <c r="N11" s="479"/>
    </row>
    <row r="12" spans="1:14" x14ac:dyDescent="0.3">
      <c r="A12" s="479"/>
      <c r="B12" s="533" t="s">
        <v>339</v>
      </c>
      <c r="C12" s="532"/>
      <c r="D12" s="532"/>
      <c r="E12" s="531"/>
      <c r="F12" s="527" t="s">
        <v>335</v>
      </c>
      <c r="G12" s="526">
        <v>2682893</v>
      </c>
      <c r="H12" s="530" t="s">
        <v>340</v>
      </c>
      <c r="I12" s="529"/>
      <c r="J12" s="484"/>
      <c r="K12" s="479"/>
      <c r="L12" s="479"/>
      <c r="M12" s="479"/>
      <c r="N12" s="479"/>
    </row>
    <row r="13" spans="1:14" x14ac:dyDescent="0.3">
      <c r="A13" s="479"/>
      <c r="B13" s="527" t="s">
        <v>331</v>
      </c>
      <c r="C13" s="512">
        <v>31420</v>
      </c>
      <c r="D13" s="479" t="s">
        <v>341</v>
      </c>
      <c r="E13" s="528"/>
      <c r="F13" s="527" t="s">
        <v>336</v>
      </c>
      <c r="G13" s="526">
        <v>1219321</v>
      </c>
      <c r="H13" s="525" t="s">
        <v>340</v>
      </c>
      <c r="I13" s="524" t="s">
        <v>340</v>
      </c>
      <c r="J13" s="518"/>
      <c r="K13" s="479"/>
      <c r="L13" s="479"/>
      <c r="M13" s="479"/>
      <c r="N13" s="479"/>
    </row>
    <row r="14" spans="1:14" ht="15" thickBot="1" x14ac:dyDescent="0.35">
      <c r="A14" s="479"/>
      <c r="B14" s="521" t="s">
        <v>337</v>
      </c>
      <c r="C14" s="507">
        <v>16643</v>
      </c>
      <c r="D14" s="523" t="s">
        <v>341</v>
      </c>
      <c r="E14" s="522"/>
      <c r="F14" s="521" t="s">
        <v>342</v>
      </c>
      <c r="G14" s="520">
        <f>SUM(G12:G13)</f>
        <v>3902214</v>
      </c>
      <c r="H14" s="519">
        <v>356088</v>
      </c>
      <c r="I14" s="519">
        <v>67399</v>
      </c>
      <c r="J14" s="479"/>
      <c r="K14" s="479"/>
      <c r="L14" s="518"/>
      <c r="M14" s="517"/>
      <c r="N14" s="479"/>
    </row>
    <row r="15" spans="1:14" x14ac:dyDescent="0.3">
      <c r="A15" s="479"/>
      <c r="B15" s="479"/>
      <c r="C15" s="479"/>
      <c r="D15" s="479"/>
      <c r="E15" s="479"/>
      <c r="F15" s="479"/>
      <c r="G15" s="479"/>
      <c r="H15" s="479"/>
      <c r="I15" s="479"/>
      <c r="J15" s="479"/>
      <c r="K15" s="479"/>
      <c r="L15" s="479"/>
      <c r="M15" s="479"/>
      <c r="N15" s="479"/>
    </row>
    <row r="16" spans="1:14" ht="15" thickBot="1" x14ac:dyDescent="0.35">
      <c r="A16" s="479"/>
      <c r="B16" s="479"/>
      <c r="C16" s="479"/>
      <c r="D16" s="479"/>
      <c r="E16" s="479"/>
      <c r="F16" s="479"/>
      <c r="G16" s="479"/>
      <c r="H16" s="479"/>
      <c r="I16" s="479"/>
      <c r="J16" s="479"/>
      <c r="K16" s="479"/>
      <c r="L16" s="479"/>
      <c r="M16" s="479"/>
      <c r="N16" s="479"/>
    </row>
    <row r="17" spans="1:14" ht="15" thickBot="1" x14ac:dyDescent="0.35">
      <c r="A17" s="479"/>
      <c r="B17" s="978" t="s">
        <v>343</v>
      </c>
      <c r="C17" s="979"/>
      <c r="D17" s="980"/>
      <c r="E17" s="479"/>
      <c r="F17" s="479"/>
      <c r="G17" s="479"/>
      <c r="H17" s="479"/>
      <c r="I17" s="479"/>
      <c r="J17" s="479"/>
      <c r="K17" s="479"/>
      <c r="L17" s="479"/>
      <c r="M17" s="479"/>
      <c r="N17" s="479"/>
    </row>
    <row r="18" spans="1:14" ht="15" thickBot="1" x14ac:dyDescent="0.35">
      <c r="A18" s="479"/>
      <c r="B18" s="962"/>
      <c r="C18" s="963" t="s">
        <v>344</v>
      </c>
      <c r="D18" s="964"/>
      <c r="E18" s="963" t="s">
        <v>345</v>
      </c>
      <c r="F18" s="965"/>
      <c r="G18" s="966" t="s">
        <v>346</v>
      </c>
      <c r="H18" s="516" t="s">
        <v>347</v>
      </c>
      <c r="I18" s="515"/>
      <c r="J18" s="479"/>
      <c r="K18" s="479"/>
      <c r="L18" s="479"/>
      <c r="M18" s="479"/>
      <c r="N18" s="479"/>
    </row>
    <row r="19" spans="1:14" x14ac:dyDescent="0.3">
      <c r="A19" s="479"/>
      <c r="B19" s="514" t="s">
        <v>331</v>
      </c>
      <c r="C19" s="512">
        <f>D7+D8</f>
        <v>423821</v>
      </c>
      <c r="D19" s="513">
        <f>C19/C21</f>
        <v>0.37367197845893957</v>
      </c>
      <c r="E19" s="512">
        <f>C13</f>
        <v>31420</v>
      </c>
      <c r="F19" s="511">
        <f>E19/E21</f>
        <v>0.65372531885233964</v>
      </c>
      <c r="G19" s="505">
        <f>H7/(H7+H8)</f>
        <v>0.35455224587283385</v>
      </c>
      <c r="H19" s="510">
        <f>(D19+F19+G19)/3</f>
        <v>0.46064984772803769</v>
      </c>
      <c r="I19" s="479"/>
      <c r="J19" s="503"/>
      <c r="K19" s="479"/>
      <c r="L19" s="479"/>
      <c r="M19" s="479"/>
      <c r="N19" s="479"/>
    </row>
    <row r="20" spans="1:14" ht="15" thickBot="1" x14ac:dyDescent="0.35">
      <c r="A20" s="479"/>
      <c r="B20" s="509" t="s">
        <v>348</v>
      </c>
      <c r="C20" s="507">
        <f>D10+D11</f>
        <v>710385</v>
      </c>
      <c r="D20" s="508">
        <f>C20/C21</f>
        <v>0.62632802154106049</v>
      </c>
      <c r="E20" s="507">
        <f>C14</f>
        <v>16643</v>
      </c>
      <c r="F20" s="506">
        <f>E20/E21</f>
        <v>0.34627468114766036</v>
      </c>
      <c r="G20" s="505">
        <f>H8/(H7+H8)</f>
        <v>0.64544775412716615</v>
      </c>
      <c r="H20" s="504">
        <f>(D20+F20+G20)/3</f>
        <v>0.53935015227196237</v>
      </c>
      <c r="I20" s="479"/>
      <c r="J20" s="503"/>
      <c r="K20" s="479"/>
      <c r="L20" s="479"/>
      <c r="M20" s="479"/>
      <c r="N20" s="479"/>
    </row>
    <row r="21" spans="1:14" x14ac:dyDescent="0.3">
      <c r="A21" s="479"/>
      <c r="B21" s="502" t="s">
        <v>92</v>
      </c>
      <c r="C21" s="501">
        <f>SUM(C19:C20)</f>
        <v>1134206</v>
      </c>
      <c r="D21" s="500"/>
      <c r="E21" s="501">
        <f>SUM(E19:E20)</f>
        <v>48063</v>
      </c>
      <c r="F21" s="500"/>
      <c r="G21" s="499"/>
      <c r="H21" s="499"/>
      <c r="I21" s="479"/>
      <c r="J21" s="479"/>
      <c r="K21" s="479"/>
      <c r="L21" s="479"/>
      <c r="M21" s="479"/>
      <c r="N21" s="479"/>
    </row>
    <row r="22" spans="1:14" ht="15" thickBot="1" x14ac:dyDescent="0.35">
      <c r="A22" s="479"/>
      <c r="B22" s="479"/>
      <c r="C22" s="479"/>
      <c r="D22" s="479"/>
      <c r="E22" s="479"/>
      <c r="F22" s="479"/>
      <c r="G22" s="479"/>
      <c r="H22" s="479"/>
      <c r="I22" s="479"/>
      <c r="J22" s="479"/>
      <c r="K22" s="479"/>
      <c r="L22" s="479"/>
      <c r="M22" s="479"/>
      <c r="N22" s="479"/>
    </row>
    <row r="23" spans="1:14" x14ac:dyDescent="0.3">
      <c r="A23" s="479"/>
      <c r="B23" s="498" t="s">
        <v>359</v>
      </c>
      <c r="C23" s="497"/>
      <c r="D23" s="497"/>
      <c r="E23" s="496"/>
      <c r="F23" s="479"/>
      <c r="G23" s="495" t="s">
        <v>358</v>
      </c>
      <c r="H23" s="494"/>
      <c r="I23" s="494"/>
      <c r="J23" s="494"/>
      <c r="K23" s="494"/>
      <c r="L23" s="493"/>
      <c r="M23" s="479"/>
      <c r="N23" s="479"/>
    </row>
    <row r="24" spans="1:14" x14ac:dyDescent="0.3">
      <c r="A24" s="479"/>
      <c r="B24" s="488"/>
      <c r="C24" s="1189" t="s">
        <v>357</v>
      </c>
      <c r="D24" s="1189"/>
      <c r="E24" s="1190"/>
      <c r="F24" s="479"/>
      <c r="G24" s="492"/>
      <c r="H24" s="491" t="s">
        <v>353</v>
      </c>
      <c r="I24" s="491" t="s">
        <v>354</v>
      </c>
      <c r="J24" s="491" t="s">
        <v>355</v>
      </c>
      <c r="K24" s="491">
        <v>5339</v>
      </c>
      <c r="L24" s="490">
        <v>5310</v>
      </c>
      <c r="M24" s="479"/>
      <c r="N24" s="479"/>
    </row>
    <row r="25" spans="1:14" x14ac:dyDescent="0.3">
      <c r="A25" s="479"/>
      <c r="B25" s="489"/>
      <c r="C25" s="1189"/>
      <c r="D25" s="1189"/>
      <c r="E25" s="1190"/>
      <c r="F25" s="479"/>
      <c r="G25" s="487" t="s">
        <v>331</v>
      </c>
      <c r="H25" s="486">
        <v>1352065.3333333333</v>
      </c>
      <c r="I25" s="486">
        <f>H25*0.75</f>
        <v>1014049</v>
      </c>
      <c r="J25" s="486">
        <f>H25*0.25</f>
        <v>338016.33333333331</v>
      </c>
      <c r="K25" s="486">
        <f>H14*H19</f>
        <v>164031.8829777815</v>
      </c>
      <c r="L25" s="485">
        <v>0</v>
      </c>
      <c r="M25" s="479"/>
      <c r="N25" s="484"/>
    </row>
    <row r="26" spans="1:14" x14ac:dyDescent="0.3">
      <c r="A26" s="479"/>
      <c r="B26" s="488" t="s">
        <v>331</v>
      </c>
      <c r="C26" s="1191">
        <v>1014049</v>
      </c>
      <c r="D26" s="1192"/>
      <c r="E26" s="1193"/>
      <c r="F26" s="479"/>
      <c r="G26" s="487" t="s">
        <v>348</v>
      </c>
      <c r="H26" s="486">
        <v>2550148.666666667</v>
      </c>
      <c r="I26" s="486">
        <f>H26*0.75</f>
        <v>1912611.5000000002</v>
      </c>
      <c r="J26" s="486">
        <f>H26*0.25</f>
        <v>637537.16666666674</v>
      </c>
      <c r="K26" s="486">
        <f>H14*H20</f>
        <v>192056.11702221853</v>
      </c>
      <c r="L26" s="485">
        <f>I14</f>
        <v>67399</v>
      </c>
      <c r="M26" s="479"/>
      <c r="N26" s="484"/>
    </row>
    <row r="27" spans="1:14" ht="15" thickBot="1" x14ac:dyDescent="0.35">
      <c r="A27" s="479"/>
      <c r="B27" s="483" t="s">
        <v>348</v>
      </c>
      <c r="C27" s="1194">
        <v>2205277</v>
      </c>
      <c r="D27" s="1195"/>
      <c r="E27" s="1196"/>
      <c r="F27" s="479"/>
      <c r="G27" s="482" t="s">
        <v>92</v>
      </c>
      <c r="H27" s="481">
        <f>SUM(H25:H26)</f>
        <v>3902214</v>
      </c>
      <c r="I27" s="481">
        <f>SUM(I25:I26)</f>
        <v>2926660.5</v>
      </c>
      <c r="J27" s="481">
        <f>SUM(J25:J26)</f>
        <v>975553.5</v>
      </c>
      <c r="K27" s="481">
        <f>SUM(K25:K26)</f>
        <v>356088</v>
      </c>
      <c r="L27" s="480">
        <f>SUM(L25:L26)</f>
        <v>67399</v>
      </c>
      <c r="M27" s="479"/>
      <c r="N27" s="479"/>
    </row>
  </sheetData>
  <mergeCells count="3">
    <mergeCell ref="C24:E25"/>
    <mergeCell ref="C26:E26"/>
    <mergeCell ref="C27:E27"/>
  </mergeCells>
  <hyperlinks>
    <hyperlink ref="E2" r:id="rId1" xr:uid="{FF8DC1A7-96E8-40B2-AF31-F377456E0E9F}"/>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B3F39-EC48-4B18-837F-4CCE4D089978}">
  <dimension ref="A1:N33"/>
  <sheetViews>
    <sheetView zoomScale="77" workbookViewId="0">
      <selection activeCell="H30" sqref="H30"/>
    </sheetView>
  </sheetViews>
  <sheetFormatPr defaultRowHeight="14.4" x14ac:dyDescent="0.3"/>
  <cols>
    <col min="1" max="6" width="12.5546875" customWidth="1"/>
    <col min="7" max="7" width="17.109375" customWidth="1"/>
    <col min="8" max="8" width="19.21875" customWidth="1"/>
    <col min="9" max="9" width="18.109375" customWidth="1"/>
    <col min="10" max="10" width="17.109375" customWidth="1"/>
    <col min="11" max="11" width="18.21875" customWidth="1"/>
    <col min="12" max="12" width="15.44140625" customWidth="1"/>
    <col min="13" max="13" width="19.77734375" customWidth="1"/>
    <col min="14" max="15" width="12.5546875" customWidth="1"/>
  </cols>
  <sheetData>
    <row r="1" spans="1:14" x14ac:dyDescent="0.3">
      <c r="A1" s="138" t="s">
        <v>325</v>
      </c>
      <c r="E1" s="385" t="s">
        <v>326</v>
      </c>
    </row>
    <row r="2" spans="1:14" x14ac:dyDescent="0.3">
      <c r="E2" s="386" t="s">
        <v>327</v>
      </c>
    </row>
    <row r="3" spans="1:14" x14ac:dyDescent="0.3">
      <c r="E3" s="386"/>
    </row>
    <row r="4" spans="1:14" ht="15" thickBot="1" x14ac:dyDescent="0.35">
      <c r="A4" s="138"/>
      <c r="J4" s="387" t="s">
        <v>328</v>
      </c>
      <c r="K4" s="387"/>
      <c r="L4" s="387"/>
      <c r="M4" s="387"/>
    </row>
    <row r="5" spans="1:14" x14ac:dyDescent="0.3">
      <c r="B5" s="388" t="s">
        <v>329</v>
      </c>
      <c r="C5" s="389"/>
      <c r="D5" s="390"/>
      <c r="E5" s="390"/>
      <c r="F5" s="390"/>
      <c r="G5" s="390"/>
      <c r="H5" s="391"/>
      <c r="J5" s="392" t="s">
        <v>330</v>
      </c>
      <c r="K5" s="392"/>
      <c r="L5" s="392"/>
      <c r="M5" s="392"/>
      <c r="N5" s="392"/>
    </row>
    <row r="6" spans="1:14" x14ac:dyDescent="0.3">
      <c r="B6" s="393" t="s">
        <v>331</v>
      </c>
      <c r="C6" s="394" t="s">
        <v>332</v>
      </c>
      <c r="D6" s="395"/>
      <c r="E6" s="396"/>
      <c r="F6" s="394" t="s">
        <v>333</v>
      </c>
      <c r="G6" s="397"/>
      <c r="H6" s="398" t="s">
        <v>334</v>
      </c>
    </row>
    <row r="7" spans="1:14" x14ac:dyDescent="0.3">
      <c r="B7" s="399"/>
      <c r="C7" s="400" t="s">
        <v>335</v>
      </c>
      <c r="D7" s="401">
        <v>300196.81090928544</v>
      </c>
      <c r="E7" s="138"/>
      <c r="F7" s="402" t="s">
        <v>331</v>
      </c>
      <c r="G7" s="396"/>
      <c r="H7" s="403">
        <v>257443</v>
      </c>
      <c r="J7" s="386"/>
    </row>
    <row r="8" spans="1:14" x14ac:dyDescent="0.3">
      <c r="B8" s="399"/>
      <c r="C8" s="404" t="s">
        <v>336</v>
      </c>
      <c r="D8" s="405">
        <v>177430.18909071459</v>
      </c>
      <c r="E8" s="138"/>
      <c r="F8" s="406" t="s">
        <v>337</v>
      </c>
      <c r="G8" s="407"/>
      <c r="H8" s="408">
        <v>199752</v>
      </c>
    </row>
    <row r="9" spans="1:14" x14ac:dyDescent="0.3">
      <c r="B9" s="409" t="s">
        <v>337</v>
      </c>
      <c r="C9" s="394" t="s">
        <v>332</v>
      </c>
      <c r="D9" s="410"/>
      <c r="H9" s="411">
        <f>SUM(H7:H8)</f>
        <v>457195</v>
      </c>
      <c r="K9" s="304"/>
      <c r="M9" s="304"/>
    </row>
    <row r="10" spans="1:14" ht="15" thickBot="1" x14ac:dyDescent="0.35">
      <c r="B10" s="399"/>
      <c r="C10" s="400" t="s">
        <v>335</v>
      </c>
      <c r="D10" s="401">
        <v>596889</v>
      </c>
      <c r="F10" s="138"/>
      <c r="H10" s="412"/>
      <c r="I10" s="138"/>
      <c r="J10" s="138"/>
      <c r="K10" s="304"/>
    </row>
    <row r="11" spans="1:14" ht="15" thickBot="1" x14ac:dyDescent="0.35">
      <c r="B11" s="413"/>
      <c r="C11" s="414" t="s">
        <v>336</v>
      </c>
      <c r="D11" s="415">
        <v>85857</v>
      </c>
      <c r="E11" s="28"/>
      <c r="F11" s="416" t="s">
        <v>338</v>
      </c>
      <c r="G11" s="417"/>
      <c r="H11" s="418">
        <v>5339</v>
      </c>
      <c r="I11" s="419">
        <v>5310</v>
      </c>
      <c r="J11" s="384"/>
      <c r="L11" s="304"/>
    </row>
    <row r="12" spans="1:14" x14ac:dyDescent="0.3">
      <c r="B12" s="420" t="s">
        <v>339</v>
      </c>
      <c r="C12" s="421"/>
      <c r="D12" s="421"/>
      <c r="E12" s="422"/>
      <c r="F12" s="423" t="s">
        <v>335</v>
      </c>
      <c r="G12" s="424">
        <v>2647686</v>
      </c>
      <c r="H12" s="425" t="s">
        <v>340</v>
      </c>
      <c r="I12" s="426"/>
      <c r="J12" s="384"/>
    </row>
    <row r="13" spans="1:14" x14ac:dyDescent="0.3">
      <c r="B13" s="423" t="s">
        <v>331</v>
      </c>
      <c r="C13" s="427">
        <v>31420</v>
      </c>
      <c r="D13" t="s">
        <v>341</v>
      </c>
      <c r="E13" s="28"/>
      <c r="F13" s="423" t="s">
        <v>336</v>
      </c>
      <c r="G13" s="424">
        <v>1197619</v>
      </c>
      <c r="H13" s="428" t="s">
        <v>340</v>
      </c>
      <c r="I13" s="429" t="s">
        <v>340</v>
      </c>
      <c r="J13" s="430"/>
    </row>
    <row r="14" spans="1:14" ht="15" thickBot="1" x14ac:dyDescent="0.35">
      <c r="B14" s="431" t="s">
        <v>337</v>
      </c>
      <c r="C14" s="432">
        <v>16643</v>
      </c>
      <c r="D14" s="303" t="s">
        <v>341</v>
      </c>
      <c r="E14" s="433"/>
      <c r="F14" s="431" t="s">
        <v>342</v>
      </c>
      <c r="G14" s="434">
        <f>SUM(G12:G13)</f>
        <v>3845305</v>
      </c>
      <c r="H14" s="435">
        <v>345232</v>
      </c>
      <c r="I14" s="435">
        <v>64333</v>
      </c>
      <c r="L14" s="430"/>
      <c r="M14" s="304"/>
    </row>
    <row r="16" spans="1:14" ht="15" thickBot="1" x14ac:dyDescent="0.35"/>
    <row r="17" spans="1:14" ht="15" thickBot="1" x14ac:dyDescent="0.35">
      <c r="B17" s="436" t="s">
        <v>343</v>
      </c>
      <c r="C17" s="437"/>
      <c r="D17" s="438"/>
    </row>
    <row r="18" spans="1:14" ht="15" thickBot="1" x14ac:dyDescent="0.35">
      <c r="B18" s="439"/>
      <c r="C18" s="440" t="s">
        <v>344</v>
      </c>
      <c r="D18" s="441"/>
      <c r="E18" s="440" t="s">
        <v>345</v>
      </c>
      <c r="F18" s="442"/>
      <c r="G18" s="443" t="s">
        <v>346</v>
      </c>
      <c r="H18" s="444" t="s">
        <v>347</v>
      </c>
      <c r="I18" s="137"/>
    </row>
    <row r="19" spans="1:14" x14ac:dyDescent="0.3">
      <c r="B19" s="445" t="s">
        <v>331</v>
      </c>
      <c r="C19" s="427">
        <f>D7+D8</f>
        <v>477627</v>
      </c>
      <c r="D19" s="446">
        <f>C19/C21</f>
        <v>0.41161505826143835</v>
      </c>
      <c r="E19" s="427">
        <f>C13</f>
        <v>31420</v>
      </c>
      <c r="F19" s="447">
        <f>E19/E21</f>
        <v>0.65372531885233964</v>
      </c>
      <c r="G19" s="448">
        <f>H7/(H7+H8)</f>
        <v>0.56309233478056409</v>
      </c>
      <c r="H19" s="449">
        <f>(D19+F19+G19)/3</f>
        <v>0.54281090396478071</v>
      </c>
      <c r="I19">
        <v>0.54281090396478071</v>
      </c>
      <c r="J19" s="300"/>
    </row>
    <row r="20" spans="1:14" ht="15" thickBot="1" x14ac:dyDescent="0.35">
      <c r="B20" s="395" t="s">
        <v>348</v>
      </c>
      <c r="C20" s="432">
        <f>D10+D11</f>
        <v>682746</v>
      </c>
      <c r="D20" s="450">
        <f>C20/C21</f>
        <v>0.58838494173856171</v>
      </c>
      <c r="E20" s="432">
        <f>C14</f>
        <v>16643</v>
      </c>
      <c r="F20" s="451">
        <f>E20/E21</f>
        <v>0.34627468114766036</v>
      </c>
      <c r="G20" s="448">
        <f>H8/(H7+H8)</f>
        <v>0.43690766521943591</v>
      </c>
      <c r="H20" s="452">
        <f>(D20+F20+G20)/3</f>
        <v>0.45718909603521934</v>
      </c>
      <c r="I20">
        <v>0.45718909603521934</v>
      </c>
      <c r="J20" s="300"/>
    </row>
    <row r="21" spans="1:14" x14ac:dyDescent="0.3">
      <c r="B21" s="453" t="s">
        <v>92</v>
      </c>
      <c r="C21" s="454">
        <f>SUM(C19:C20)</f>
        <v>1160373</v>
      </c>
      <c r="D21" s="455"/>
      <c r="E21" s="454">
        <f>SUM(E19:E20)</f>
        <v>48063</v>
      </c>
      <c r="F21" s="455"/>
      <c r="G21" s="456"/>
      <c r="H21" s="456"/>
    </row>
    <row r="22" spans="1:14" ht="15" thickBot="1" x14ac:dyDescent="0.35"/>
    <row r="23" spans="1:14" ht="15" thickBot="1" x14ac:dyDescent="0.35">
      <c r="B23" s="457" t="s">
        <v>349</v>
      </c>
      <c r="C23" s="458"/>
      <c r="D23" s="459"/>
      <c r="G23" s="460" t="s">
        <v>350</v>
      </c>
      <c r="H23" s="461"/>
      <c r="I23" s="461"/>
      <c r="J23" s="461"/>
      <c r="K23" s="461"/>
      <c r="L23" s="462"/>
    </row>
    <row r="24" spans="1:14" x14ac:dyDescent="0.3">
      <c r="B24" s="463"/>
      <c r="C24" s="464" t="s">
        <v>351</v>
      </c>
      <c r="D24" s="464" t="s">
        <v>352</v>
      </c>
      <c r="G24" s="465"/>
      <c r="H24" s="466" t="s">
        <v>353</v>
      </c>
      <c r="I24" s="466" t="s">
        <v>354</v>
      </c>
      <c r="J24" s="466" t="s">
        <v>355</v>
      </c>
      <c r="K24" s="466">
        <v>5339</v>
      </c>
      <c r="L24" s="467">
        <v>5310</v>
      </c>
    </row>
    <row r="25" spans="1:14" x14ac:dyDescent="0.3">
      <c r="B25" s="468" t="s">
        <v>331</v>
      </c>
      <c r="C25" s="469">
        <v>1300000</v>
      </c>
      <c r="D25" s="470">
        <f>(G14-C27)*H19</f>
        <v>1001651.6751407296</v>
      </c>
      <c r="G25" s="471" t="s">
        <v>331</v>
      </c>
      <c r="H25" s="470">
        <f>(G14-SUM(C25:C26))*H19+C25</f>
        <v>2301651.6751407296</v>
      </c>
      <c r="I25" s="470">
        <f>H25*0.75</f>
        <v>1726238.7563555473</v>
      </c>
      <c r="J25" s="470">
        <f>H25*0.25</f>
        <v>575412.91878518241</v>
      </c>
      <c r="K25" s="470">
        <f>H14*H19</f>
        <v>187395.69399756918</v>
      </c>
      <c r="L25" s="472">
        <v>64333</v>
      </c>
      <c r="N25" s="384"/>
    </row>
    <row r="26" spans="1:14" x14ac:dyDescent="0.3">
      <c r="B26" s="468" t="s">
        <v>348</v>
      </c>
      <c r="C26" s="469">
        <v>700000</v>
      </c>
      <c r="D26" s="470">
        <f>(G14-C27)*H20</f>
        <v>843653.32485927048</v>
      </c>
      <c r="G26" s="471" t="s">
        <v>348</v>
      </c>
      <c r="H26" s="470">
        <f>(G14-SUM(C25:C26))*H20+C26</f>
        <v>1543653.3248592704</v>
      </c>
      <c r="I26" s="470">
        <f>H26*0.75</f>
        <v>1157739.9936444527</v>
      </c>
      <c r="J26" s="470">
        <f>H26*0.25</f>
        <v>385913.33121481759</v>
      </c>
      <c r="K26" s="470">
        <f>H14*H20</f>
        <v>157836.30600243085</v>
      </c>
      <c r="L26" s="472">
        <v>0</v>
      </c>
      <c r="N26" s="384"/>
    </row>
    <row r="27" spans="1:14" ht="15" thickBot="1" x14ac:dyDescent="0.35">
      <c r="B27" s="473" t="s">
        <v>92</v>
      </c>
      <c r="C27" s="474">
        <f>SUM(C25:C26)</f>
        <v>2000000</v>
      </c>
      <c r="D27" s="474">
        <f>SUM(D25:D26)</f>
        <v>1845305</v>
      </c>
      <c r="G27" s="475" t="s">
        <v>92</v>
      </c>
      <c r="H27" s="476">
        <f>SUM(H25:H26)</f>
        <v>3845305</v>
      </c>
      <c r="I27" s="476">
        <f>SUM(I25:I26)</f>
        <v>2883978.75</v>
      </c>
      <c r="J27" s="476">
        <f>SUM(J25:J26)</f>
        <v>961326.25</v>
      </c>
      <c r="K27" s="476">
        <f>SUM(K25:K26)</f>
        <v>345232</v>
      </c>
      <c r="L27" s="477">
        <f>SUM(L25:L26)</f>
        <v>64333</v>
      </c>
    </row>
    <row r="28" spans="1:14" x14ac:dyDescent="0.3">
      <c r="D28" s="478">
        <f>SUM(C27:D27)</f>
        <v>3845305</v>
      </c>
    </row>
    <row r="29" spans="1:14" ht="18" x14ac:dyDescent="0.35">
      <c r="A29" s="658"/>
    </row>
    <row r="30" spans="1:14" ht="18" x14ac:dyDescent="0.35">
      <c r="A30" s="658"/>
    </row>
    <row r="31" spans="1:14" ht="18" x14ac:dyDescent="0.35">
      <c r="A31" s="658"/>
    </row>
    <row r="32" spans="1:14" ht="18" x14ac:dyDescent="0.35">
      <c r="A32" s="658"/>
    </row>
    <row r="33" spans="1:1" ht="18" x14ac:dyDescent="0.35">
      <c r="A33" s="658"/>
    </row>
  </sheetData>
  <hyperlinks>
    <hyperlink ref="E2" r:id="rId1" xr:uid="{3C597A2B-3DFD-4B5E-BA79-8ACD4A5EF4C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E1223-70DD-4EFC-A37A-83A8AE74B181}">
  <sheetPr>
    <pageSetUpPr fitToPage="1"/>
  </sheetPr>
  <dimension ref="A1:E701"/>
  <sheetViews>
    <sheetView zoomScale="74" zoomScaleNormal="74" zoomScaleSheetLayoutView="75" zoomScalePageLayoutView="50" workbookViewId="0">
      <selection activeCell="F292" sqref="F292"/>
    </sheetView>
  </sheetViews>
  <sheetFormatPr defaultColWidth="9.109375" defaultRowHeight="15" x14ac:dyDescent="0.3"/>
  <cols>
    <col min="1" max="2" width="52.5546875" style="824" bestFit="1" customWidth="1"/>
    <col min="3" max="3" width="22.109375" style="825" bestFit="1" customWidth="1"/>
    <col min="4" max="4" width="15.21875" style="785" bestFit="1" customWidth="1"/>
    <col min="5" max="5" width="14.21875" style="785" bestFit="1" customWidth="1"/>
    <col min="6" max="16384" width="9.109375" style="785"/>
  </cols>
  <sheetData>
    <row r="1" spans="1:3" ht="17.399999999999999" x14ac:dyDescent="0.3">
      <c r="A1" s="1199" t="s">
        <v>512</v>
      </c>
      <c r="B1" s="1200"/>
      <c r="C1" s="1201"/>
    </row>
    <row r="2" spans="1:3" ht="17.399999999999999" x14ac:dyDescent="0.3">
      <c r="A2" s="1202" t="s">
        <v>513</v>
      </c>
      <c r="B2" s="1203"/>
      <c r="C2" s="1204"/>
    </row>
    <row r="3" spans="1:3" ht="8.4" customHeight="1" x14ac:dyDescent="0.3">
      <c r="A3" s="786"/>
      <c r="B3" s="787"/>
      <c r="C3" s="788"/>
    </row>
    <row r="4" spans="1:3" ht="41.25" customHeight="1" x14ac:dyDescent="0.3">
      <c r="A4" s="1205" t="s">
        <v>514</v>
      </c>
      <c r="B4" s="1206"/>
      <c r="C4" s="1207"/>
    </row>
    <row r="5" spans="1:3" ht="15.75" customHeight="1" x14ac:dyDescent="0.3">
      <c r="A5" s="1202"/>
      <c r="B5" s="1203"/>
      <c r="C5" s="1204"/>
    </row>
    <row r="6" spans="1:3" ht="63.9" customHeight="1" x14ac:dyDescent="0.3">
      <c r="A6" s="1208" t="s">
        <v>515</v>
      </c>
      <c r="B6" s="1209"/>
      <c r="C6" s="1210"/>
    </row>
    <row r="7" spans="1:3" ht="55.5" customHeight="1" x14ac:dyDescent="0.3">
      <c r="A7" s="1211" t="s">
        <v>516</v>
      </c>
      <c r="B7" s="1212"/>
      <c r="C7" s="1213"/>
    </row>
    <row r="8" spans="1:3" thickBot="1" x14ac:dyDescent="0.35">
      <c r="A8" s="1214"/>
      <c r="B8" s="1214"/>
      <c r="C8" s="789"/>
    </row>
    <row r="9" spans="1:3" ht="16.2" thickBot="1" x14ac:dyDescent="0.35">
      <c r="A9" s="790" t="s">
        <v>517</v>
      </c>
      <c r="B9" s="791"/>
      <c r="C9" s="792" t="s">
        <v>518</v>
      </c>
    </row>
    <row r="10" spans="1:3" ht="14.4" x14ac:dyDescent="0.3">
      <c r="A10" s="793"/>
      <c r="B10" s="794"/>
      <c r="C10" s="795"/>
    </row>
    <row r="11" spans="1:3" ht="15.6" x14ac:dyDescent="0.3">
      <c r="A11" s="796" t="s">
        <v>519</v>
      </c>
      <c r="B11" s="797"/>
      <c r="C11" s="798">
        <f>C94</f>
        <v>4993057781</v>
      </c>
    </row>
    <row r="12" spans="1:3" ht="14.4" x14ac:dyDescent="0.3">
      <c r="A12" s="793"/>
      <c r="B12" s="794"/>
      <c r="C12" s="795"/>
    </row>
    <row r="13" spans="1:3" ht="15.6" x14ac:dyDescent="0.3">
      <c r="A13" s="796" t="s">
        <v>520</v>
      </c>
      <c r="B13" s="797"/>
      <c r="C13" s="798">
        <f>C291</f>
        <v>1352064684</v>
      </c>
    </row>
    <row r="14" spans="1:3" ht="14.4" x14ac:dyDescent="0.3">
      <c r="A14" s="793"/>
      <c r="B14" s="794"/>
      <c r="C14" s="795"/>
    </row>
    <row r="15" spans="1:3" ht="15.6" x14ac:dyDescent="0.3">
      <c r="A15" s="799" t="s">
        <v>521</v>
      </c>
      <c r="B15" s="800"/>
      <c r="C15" s="801">
        <f>C699</f>
        <v>899882095</v>
      </c>
    </row>
    <row r="16" spans="1:3" ht="14.4" x14ac:dyDescent="0.3">
      <c r="A16" s="793"/>
      <c r="B16" s="794"/>
      <c r="C16" s="795"/>
    </row>
    <row r="17" spans="1:3" ht="15.6" x14ac:dyDescent="0.3">
      <c r="A17" s="802" t="s">
        <v>522</v>
      </c>
      <c r="B17" s="797"/>
      <c r="C17" s="798">
        <f>C11+C13+C15</f>
        <v>7245004560</v>
      </c>
    </row>
    <row r="18" spans="1:3" thickBot="1" x14ac:dyDescent="0.35">
      <c r="A18" s="803"/>
      <c r="B18" s="804"/>
      <c r="C18" s="805"/>
    </row>
    <row r="19" spans="1:3" ht="14.4" x14ac:dyDescent="0.3">
      <c r="A19" s="794"/>
      <c r="B19" s="806"/>
      <c r="C19" s="807"/>
    </row>
    <row r="20" spans="1:3" ht="33.75" hidden="1" customHeight="1" x14ac:dyDescent="0.3">
      <c r="A20" s="1215" t="s">
        <v>523</v>
      </c>
      <c r="B20" s="1216"/>
      <c r="C20" s="1216"/>
    </row>
    <row r="21" spans="1:3" ht="14.4" hidden="1" x14ac:dyDescent="0.3">
      <c r="A21" s="808" t="s">
        <v>524</v>
      </c>
      <c r="B21" s="785" t="s">
        <v>525</v>
      </c>
      <c r="C21" s="809">
        <v>98814891</v>
      </c>
    </row>
    <row r="22" spans="1:3" ht="14.4" hidden="1" x14ac:dyDescent="0.3">
      <c r="A22" s="808" t="s">
        <v>526</v>
      </c>
      <c r="B22" s="785" t="s">
        <v>527</v>
      </c>
      <c r="C22" s="809">
        <v>49141608</v>
      </c>
    </row>
    <row r="23" spans="1:3" ht="14.4" hidden="1" x14ac:dyDescent="0.3">
      <c r="A23" s="808" t="s">
        <v>528</v>
      </c>
      <c r="B23" s="785" t="s">
        <v>529</v>
      </c>
      <c r="C23" s="809">
        <v>95731989</v>
      </c>
    </row>
    <row r="24" spans="1:3" ht="14.4" hidden="1" x14ac:dyDescent="0.3">
      <c r="A24" s="785" t="s">
        <v>530</v>
      </c>
      <c r="B24" s="785" t="s">
        <v>531</v>
      </c>
      <c r="C24" s="810">
        <v>209208982</v>
      </c>
    </row>
    <row r="25" spans="1:3" ht="14.4" hidden="1" x14ac:dyDescent="0.3">
      <c r="A25" s="785" t="s">
        <v>530</v>
      </c>
      <c r="B25" s="785" t="s">
        <v>532</v>
      </c>
      <c r="C25" s="810">
        <v>2935880</v>
      </c>
    </row>
    <row r="26" spans="1:3" ht="14.4" hidden="1" x14ac:dyDescent="0.3">
      <c r="A26" s="808" t="s">
        <v>533</v>
      </c>
      <c r="B26" s="785"/>
      <c r="C26" s="809">
        <v>212144862</v>
      </c>
    </row>
    <row r="27" spans="1:3" ht="14.4" hidden="1" x14ac:dyDescent="0.3">
      <c r="A27" s="785" t="s">
        <v>534</v>
      </c>
      <c r="B27" s="785" t="s">
        <v>535</v>
      </c>
      <c r="C27" s="810">
        <v>26934025</v>
      </c>
    </row>
    <row r="28" spans="1:3" ht="14.4" hidden="1" x14ac:dyDescent="0.3">
      <c r="A28" s="785" t="s">
        <v>534</v>
      </c>
      <c r="B28" s="785" t="s">
        <v>536</v>
      </c>
      <c r="C28" s="810">
        <v>406288</v>
      </c>
    </row>
    <row r="29" spans="1:3" ht="14.4" hidden="1" x14ac:dyDescent="0.3">
      <c r="A29" s="808" t="s">
        <v>537</v>
      </c>
      <c r="B29" s="785"/>
      <c r="C29" s="809">
        <v>27340313</v>
      </c>
    </row>
    <row r="30" spans="1:3" ht="14.4" hidden="1" x14ac:dyDescent="0.3">
      <c r="A30" s="785" t="s">
        <v>538</v>
      </c>
      <c r="B30" s="785" t="s">
        <v>539</v>
      </c>
      <c r="C30" s="810">
        <v>313871830</v>
      </c>
    </row>
    <row r="31" spans="1:3" ht="14.4" hidden="1" x14ac:dyDescent="0.3">
      <c r="A31" s="785" t="s">
        <v>538</v>
      </c>
      <c r="B31" s="785" t="s">
        <v>540</v>
      </c>
      <c r="C31" s="810">
        <v>20598059</v>
      </c>
    </row>
    <row r="32" spans="1:3" ht="14.4" hidden="1" x14ac:dyDescent="0.3">
      <c r="A32" s="808" t="s">
        <v>541</v>
      </c>
      <c r="B32" s="785"/>
      <c r="C32" s="809">
        <v>334469889</v>
      </c>
    </row>
    <row r="33" spans="1:3" ht="14.4" hidden="1" x14ac:dyDescent="0.3">
      <c r="A33" s="785" t="s">
        <v>542</v>
      </c>
      <c r="B33" s="785" t="s">
        <v>543</v>
      </c>
      <c r="C33" s="810">
        <v>5863450</v>
      </c>
    </row>
    <row r="34" spans="1:3" ht="14.4" hidden="1" x14ac:dyDescent="0.3">
      <c r="A34" s="785" t="s">
        <v>542</v>
      </c>
      <c r="B34" s="785" t="s">
        <v>544</v>
      </c>
      <c r="C34" s="810">
        <v>21933407</v>
      </c>
    </row>
    <row r="35" spans="1:3" ht="14.4" hidden="1" x14ac:dyDescent="0.3">
      <c r="A35" s="808" t="s">
        <v>545</v>
      </c>
      <c r="B35" s="785"/>
      <c r="C35" s="809">
        <v>27796857</v>
      </c>
    </row>
    <row r="36" spans="1:3" ht="14.4" hidden="1" x14ac:dyDescent="0.3">
      <c r="A36" s="808" t="s">
        <v>546</v>
      </c>
      <c r="B36" s="785" t="s">
        <v>544</v>
      </c>
      <c r="C36" s="809">
        <v>38112803</v>
      </c>
    </row>
    <row r="37" spans="1:3" ht="14.4" hidden="1" x14ac:dyDescent="0.3">
      <c r="A37" s="808" t="s">
        <v>547</v>
      </c>
      <c r="B37" s="785" t="s">
        <v>544</v>
      </c>
      <c r="C37" s="809">
        <v>25683489</v>
      </c>
    </row>
    <row r="38" spans="1:3" ht="14.4" hidden="1" x14ac:dyDescent="0.3">
      <c r="A38" s="808" t="s">
        <v>548</v>
      </c>
      <c r="B38" s="785" t="s">
        <v>527</v>
      </c>
      <c r="C38" s="809">
        <v>120234995</v>
      </c>
    </row>
    <row r="39" spans="1:3" ht="14.4" hidden="1" x14ac:dyDescent="0.3">
      <c r="A39" s="808" t="s">
        <v>549</v>
      </c>
      <c r="B39" s="785" t="s">
        <v>550</v>
      </c>
      <c r="C39" s="809">
        <v>80953802</v>
      </c>
    </row>
    <row r="40" spans="1:3" ht="14.4" hidden="1" x14ac:dyDescent="0.3">
      <c r="A40" s="808" t="s">
        <v>551</v>
      </c>
      <c r="B40" s="785" t="s">
        <v>552</v>
      </c>
      <c r="C40" s="809">
        <v>55066282</v>
      </c>
    </row>
    <row r="41" spans="1:3" ht="14.4" hidden="1" x14ac:dyDescent="0.3">
      <c r="A41" s="808" t="s">
        <v>553</v>
      </c>
      <c r="B41" s="785" t="s">
        <v>527</v>
      </c>
      <c r="C41" s="809">
        <v>117452082</v>
      </c>
    </row>
    <row r="42" spans="1:3" ht="14.4" hidden="1" x14ac:dyDescent="0.3">
      <c r="A42" s="808" t="s">
        <v>554</v>
      </c>
      <c r="B42" s="785" t="s">
        <v>540</v>
      </c>
      <c r="C42" s="809">
        <v>24659802</v>
      </c>
    </row>
    <row r="43" spans="1:3" ht="14.4" hidden="1" x14ac:dyDescent="0.3">
      <c r="A43" s="808" t="s">
        <v>555</v>
      </c>
      <c r="B43" s="785" t="s">
        <v>556</v>
      </c>
      <c r="C43" s="809">
        <v>22676560</v>
      </c>
    </row>
    <row r="44" spans="1:3" ht="14.4" hidden="1" x14ac:dyDescent="0.3">
      <c r="A44" s="785" t="s">
        <v>557</v>
      </c>
      <c r="B44" s="785" t="s">
        <v>558</v>
      </c>
      <c r="C44" s="810">
        <v>10558563</v>
      </c>
    </row>
    <row r="45" spans="1:3" ht="14.4" hidden="1" x14ac:dyDescent="0.3">
      <c r="A45" s="785" t="s">
        <v>557</v>
      </c>
      <c r="B45" s="785" t="s">
        <v>559</v>
      </c>
      <c r="C45" s="810">
        <v>13274896</v>
      </c>
    </row>
    <row r="46" spans="1:3" ht="14.4" hidden="1" x14ac:dyDescent="0.3">
      <c r="A46" s="808" t="s">
        <v>560</v>
      </c>
      <c r="B46" s="785"/>
      <c r="C46" s="809">
        <v>23833459</v>
      </c>
    </row>
    <row r="47" spans="1:3" ht="14.4" hidden="1" x14ac:dyDescent="0.3">
      <c r="A47" s="808" t="s">
        <v>561</v>
      </c>
      <c r="B47" s="785" t="s">
        <v>562</v>
      </c>
      <c r="C47" s="809">
        <v>55064602</v>
      </c>
    </row>
    <row r="48" spans="1:3" ht="14.4" hidden="1" x14ac:dyDescent="0.3">
      <c r="A48" s="808" t="s">
        <v>563</v>
      </c>
      <c r="B48" s="785" t="s">
        <v>564</v>
      </c>
      <c r="C48" s="809">
        <v>387165053</v>
      </c>
    </row>
    <row r="49" spans="1:3" ht="14.4" hidden="1" x14ac:dyDescent="0.3">
      <c r="A49" s="785" t="s">
        <v>565</v>
      </c>
      <c r="B49" s="785" t="s">
        <v>566</v>
      </c>
      <c r="C49" s="810">
        <v>522414</v>
      </c>
    </row>
    <row r="50" spans="1:3" ht="14.4" hidden="1" x14ac:dyDescent="0.3">
      <c r="A50" s="785" t="s">
        <v>565</v>
      </c>
      <c r="B50" s="785" t="s">
        <v>567</v>
      </c>
      <c r="C50" s="810">
        <v>1901021</v>
      </c>
    </row>
    <row r="51" spans="1:3" ht="14.4" hidden="1" x14ac:dyDescent="0.3">
      <c r="A51" s="785" t="s">
        <v>565</v>
      </c>
      <c r="B51" s="785" t="s">
        <v>568</v>
      </c>
      <c r="C51" s="810">
        <v>11654215</v>
      </c>
    </row>
    <row r="52" spans="1:3" ht="14.4" hidden="1" x14ac:dyDescent="0.3">
      <c r="A52" s="808" t="s">
        <v>569</v>
      </c>
      <c r="B52" s="785"/>
      <c r="C52" s="809">
        <v>14077650</v>
      </c>
    </row>
    <row r="53" spans="1:3" ht="14.4" hidden="1" x14ac:dyDescent="0.3">
      <c r="A53" s="808" t="s">
        <v>570</v>
      </c>
      <c r="B53" s="785" t="s">
        <v>556</v>
      </c>
      <c r="C53" s="809">
        <v>179169072</v>
      </c>
    </row>
    <row r="54" spans="1:3" ht="14.4" hidden="1" x14ac:dyDescent="0.3">
      <c r="A54" s="808" t="s">
        <v>571</v>
      </c>
      <c r="B54" s="785" t="s">
        <v>572</v>
      </c>
      <c r="C54" s="809">
        <v>29526974</v>
      </c>
    </row>
    <row r="55" spans="1:3" ht="14.4" hidden="1" x14ac:dyDescent="0.3">
      <c r="A55" s="808" t="s">
        <v>573</v>
      </c>
      <c r="B55" s="785" t="s">
        <v>574</v>
      </c>
      <c r="C55" s="809">
        <v>80053446</v>
      </c>
    </row>
    <row r="56" spans="1:3" ht="14.4" hidden="1" x14ac:dyDescent="0.3">
      <c r="A56" s="808" t="s">
        <v>575</v>
      </c>
      <c r="B56" s="785" t="s">
        <v>568</v>
      </c>
      <c r="C56" s="809">
        <v>31793869</v>
      </c>
    </row>
    <row r="57" spans="1:3" ht="14.4" hidden="1" x14ac:dyDescent="0.3">
      <c r="A57" s="785" t="s">
        <v>576</v>
      </c>
      <c r="B57" s="785" t="s">
        <v>577</v>
      </c>
      <c r="C57" s="810">
        <v>458858148</v>
      </c>
    </row>
    <row r="58" spans="1:3" ht="14.4" hidden="1" x14ac:dyDescent="0.3">
      <c r="A58" s="785" t="s">
        <v>576</v>
      </c>
      <c r="B58" s="785" t="s">
        <v>578</v>
      </c>
      <c r="C58" s="810">
        <v>827705831</v>
      </c>
    </row>
    <row r="59" spans="1:3" ht="14.4" hidden="1" x14ac:dyDescent="0.3">
      <c r="A59" s="808" t="s">
        <v>579</v>
      </c>
      <c r="B59" s="785"/>
      <c r="C59" s="809">
        <v>1286563979</v>
      </c>
    </row>
    <row r="60" spans="1:3" ht="14.4" hidden="1" x14ac:dyDescent="0.3">
      <c r="A60" s="808" t="s">
        <v>580</v>
      </c>
      <c r="B60" s="785" t="s">
        <v>556</v>
      </c>
      <c r="C60" s="809">
        <v>53336707</v>
      </c>
    </row>
    <row r="61" spans="1:3" ht="14.4" hidden="1" x14ac:dyDescent="0.3">
      <c r="A61" s="785" t="s">
        <v>581</v>
      </c>
      <c r="B61" s="785" t="s">
        <v>582</v>
      </c>
      <c r="C61" s="810">
        <v>22120619</v>
      </c>
    </row>
    <row r="62" spans="1:3" ht="14.4" hidden="1" x14ac:dyDescent="0.3">
      <c r="A62" s="785" t="s">
        <v>581</v>
      </c>
      <c r="B62" s="785" t="s">
        <v>529</v>
      </c>
      <c r="C62" s="810">
        <v>1705014</v>
      </c>
    </row>
    <row r="63" spans="1:3" ht="14.4" hidden="1" x14ac:dyDescent="0.3">
      <c r="A63" s="785" t="s">
        <v>581</v>
      </c>
      <c r="B63" s="785" t="s">
        <v>577</v>
      </c>
      <c r="C63" s="810">
        <v>50848378</v>
      </c>
    </row>
    <row r="64" spans="1:3" ht="14.4" hidden="1" x14ac:dyDescent="0.3">
      <c r="A64" s="785" t="s">
        <v>581</v>
      </c>
      <c r="B64" s="785" t="s">
        <v>583</v>
      </c>
      <c r="C64" s="810">
        <v>131990548</v>
      </c>
    </row>
    <row r="65" spans="1:3" ht="14.4" hidden="1" x14ac:dyDescent="0.3">
      <c r="A65" s="808" t="s">
        <v>584</v>
      </c>
      <c r="B65" s="785"/>
      <c r="C65" s="809">
        <v>206664559</v>
      </c>
    </row>
    <row r="66" spans="1:3" ht="14.4" hidden="1" x14ac:dyDescent="0.3">
      <c r="A66" s="808" t="s">
        <v>585</v>
      </c>
      <c r="B66" s="785" t="s">
        <v>586</v>
      </c>
      <c r="C66" s="809">
        <v>75811477</v>
      </c>
    </row>
    <row r="67" spans="1:3" ht="14.4" hidden="1" x14ac:dyDescent="0.3">
      <c r="A67" s="808" t="s">
        <v>587</v>
      </c>
      <c r="B67" s="785" t="s">
        <v>583</v>
      </c>
      <c r="C67" s="809">
        <v>43216698</v>
      </c>
    </row>
    <row r="68" spans="1:3" ht="14.4" hidden="1" x14ac:dyDescent="0.3">
      <c r="A68" s="785" t="s">
        <v>588</v>
      </c>
      <c r="B68" s="785" t="s">
        <v>589</v>
      </c>
      <c r="C68" s="810">
        <v>50280523</v>
      </c>
    </row>
    <row r="69" spans="1:3" ht="14.4" hidden="1" x14ac:dyDescent="0.3">
      <c r="A69" s="785" t="s">
        <v>588</v>
      </c>
      <c r="B69" s="785" t="s">
        <v>590</v>
      </c>
      <c r="C69" s="810">
        <v>12749235</v>
      </c>
    </row>
    <row r="70" spans="1:3" ht="14.4" hidden="1" x14ac:dyDescent="0.3">
      <c r="A70" s="808" t="s">
        <v>591</v>
      </c>
      <c r="B70" s="785"/>
      <c r="C70" s="809">
        <v>63029758</v>
      </c>
    </row>
    <row r="71" spans="1:3" ht="14.4" hidden="1" x14ac:dyDescent="0.3">
      <c r="A71" s="785" t="s">
        <v>592</v>
      </c>
      <c r="B71" s="785" t="s">
        <v>531</v>
      </c>
      <c r="C71" s="810">
        <v>11857789</v>
      </c>
    </row>
    <row r="72" spans="1:3" ht="14.4" hidden="1" x14ac:dyDescent="0.3">
      <c r="A72" s="785" t="s">
        <v>592</v>
      </c>
      <c r="B72" s="785" t="s">
        <v>593</v>
      </c>
      <c r="C72" s="810">
        <v>37566264</v>
      </c>
    </row>
    <row r="73" spans="1:3" ht="14.4" hidden="1" x14ac:dyDescent="0.3">
      <c r="A73" s="808" t="s">
        <v>594</v>
      </c>
      <c r="B73" s="785"/>
      <c r="C73" s="809">
        <v>49424053</v>
      </c>
    </row>
    <row r="74" spans="1:3" ht="14.4" hidden="1" x14ac:dyDescent="0.3">
      <c r="A74" s="808" t="s">
        <v>595</v>
      </c>
      <c r="B74" s="785" t="s">
        <v>535</v>
      </c>
      <c r="C74" s="809">
        <v>18399963</v>
      </c>
    </row>
    <row r="75" spans="1:3" ht="14.4" hidden="1" x14ac:dyDescent="0.3">
      <c r="A75" s="808" t="s">
        <v>596</v>
      </c>
      <c r="B75" s="785" t="s">
        <v>597</v>
      </c>
      <c r="C75" s="809">
        <v>16304228</v>
      </c>
    </row>
    <row r="76" spans="1:3" ht="14.4" hidden="1" x14ac:dyDescent="0.3">
      <c r="A76" s="808" t="s">
        <v>598</v>
      </c>
      <c r="B76" s="785" t="s">
        <v>564</v>
      </c>
      <c r="C76" s="809">
        <v>47025684</v>
      </c>
    </row>
    <row r="77" spans="1:3" ht="14.4" hidden="1" x14ac:dyDescent="0.3">
      <c r="A77" s="808" t="s">
        <v>599</v>
      </c>
      <c r="B77" s="785" t="s">
        <v>564</v>
      </c>
      <c r="C77" s="809">
        <v>36728332</v>
      </c>
    </row>
    <row r="78" spans="1:3" ht="14.4" hidden="1" x14ac:dyDescent="0.3">
      <c r="A78" s="808" t="s">
        <v>600</v>
      </c>
      <c r="B78" s="785" t="s">
        <v>601</v>
      </c>
      <c r="C78" s="809">
        <v>38899149</v>
      </c>
    </row>
    <row r="79" spans="1:3" ht="14.4" hidden="1" x14ac:dyDescent="0.3">
      <c r="A79" s="808" t="s">
        <v>602</v>
      </c>
      <c r="B79" s="785" t="s">
        <v>527</v>
      </c>
      <c r="C79" s="809">
        <v>46513022</v>
      </c>
    </row>
    <row r="80" spans="1:3" ht="14.4" hidden="1" x14ac:dyDescent="0.3">
      <c r="A80" s="808" t="s">
        <v>603</v>
      </c>
      <c r="B80" s="785" t="s">
        <v>564</v>
      </c>
      <c r="C80" s="809">
        <v>96829834</v>
      </c>
    </row>
    <row r="81" spans="1:3" ht="14.4" hidden="1" x14ac:dyDescent="0.3">
      <c r="A81" s="808" t="s">
        <v>604</v>
      </c>
      <c r="B81" s="785" t="s">
        <v>564</v>
      </c>
      <c r="C81" s="809">
        <v>195641364</v>
      </c>
    </row>
    <row r="82" spans="1:3" ht="14.4" hidden="1" x14ac:dyDescent="0.3">
      <c r="A82" s="808" t="s">
        <v>605</v>
      </c>
      <c r="B82" s="785" t="s">
        <v>564</v>
      </c>
      <c r="C82" s="809">
        <v>58331841</v>
      </c>
    </row>
    <row r="83" spans="1:3" ht="14.4" hidden="1" x14ac:dyDescent="0.3">
      <c r="A83" s="808" t="s">
        <v>606</v>
      </c>
      <c r="B83" s="785" t="s">
        <v>607</v>
      </c>
      <c r="C83" s="809">
        <v>27013461</v>
      </c>
    </row>
    <row r="84" spans="1:3" ht="14.4" hidden="1" x14ac:dyDescent="0.3">
      <c r="A84" s="808" t="s">
        <v>608</v>
      </c>
      <c r="B84" s="785" t="s">
        <v>590</v>
      </c>
      <c r="C84" s="809">
        <v>138430271</v>
      </c>
    </row>
    <row r="85" spans="1:3" ht="14.4" hidden="1" x14ac:dyDescent="0.3">
      <c r="A85" s="785" t="s">
        <v>609</v>
      </c>
      <c r="B85" s="785" t="s">
        <v>539</v>
      </c>
      <c r="C85" s="810">
        <v>7388049</v>
      </c>
    </row>
    <row r="86" spans="1:3" ht="14.4" hidden="1" x14ac:dyDescent="0.3">
      <c r="A86" s="785" t="s">
        <v>609</v>
      </c>
      <c r="B86" s="785" t="s">
        <v>559</v>
      </c>
      <c r="C86" s="810">
        <v>37692776</v>
      </c>
    </row>
    <row r="87" spans="1:3" ht="14.4" hidden="1" x14ac:dyDescent="0.3">
      <c r="A87" s="808" t="s">
        <v>610</v>
      </c>
      <c r="B87" s="785"/>
      <c r="C87" s="809">
        <v>45080825</v>
      </c>
    </row>
    <row r="88" spans="1:3" ht="14.4" hidden="1" x14ac:dyDescent="0.3">
      <c r="A88" s="808" t="s">
        <v>611</v>
      </c>
      <c r="B88" s="785" t="s">
        <v>556</v>
      </c>
      <c r="C88" s="809">
        <v>54137606</v>
      </c>
    </row>
    <row r="89" spans="1:3" ht="14.4" hidden="1" x14ac:dyDescent="0.3">
      <c r="A89" s="808" t="s">
        <v>612</v>
      </c>
      <c r="B89" s="785" t="s">
        <v>597</v>
      </c>
      <c r="C89" s="809">
        <v>24559225</v>
      </c>
    </row>
    <row r="90" spans="1:3" ht="14.4" hidden="1" x14ac:dyDescent="0.3">
      <c r="A90" s="785" t="s">
        <v>613</v>
      </c>
      <c r="B90" s="785" t="s">
        <v>614</v>
      </c>
      <c r="C90" s="810">
        <v>28990825</v>
      </c>
    </row>
    <row r="91" spans="1:3" ht="14.4" hidden="1" x14ac:dyDescent="0.3">
      <c r="A91" s="785" t="s">
        <v>613</v>
      </c>
      <c r="B91" s="785" t="s">
        <v>529</v>
      </c>
      <c r="C91" s="810">
        <v>101790997</v>
      </c>
    </row>
    <row r="92" spans="1:3" ht="14.4" hidden="1" x14ac:dyDescent="0.3">
      <c r="A92" s="785" t="s">
        <v>613</v>
      </c>
      <c r="B92" s="785" t="s">
        <v>597</v>
      </c>
      <c r="C92" s="810">
        <v>109369574</v>
      </c>
    </row>
    <row r="93" spans="1:3" ht="14.4" hidden="1" x14ac:dyDescent="0.3">
      <c r="A93" s="808" t="s">
        <v>615</v>
      </c>
      <c r="B93" s="785"/>
      <c r="C93" s="809">
        <v>240151396</v>
      </c>
    </row>
    <row r="94" spans="1:3" ht="15.6" hidden="1" x14ac:dyDescent="0.3">
      <c r="A94" s="811" t="s">
        <v>616</v>
      </c>
      <c r="B94" s="812"/>
      <c r="C94" s="813">
        <f>SUM(C21:C23,C26,C29,C32,C35:C43,C46:C48,C52:C56,C59:C60,C65:C67,C70,C73:C84,C87:C89,C93)</f>
        <v>4993057781</v>
      </c>
    </row>
    <row r="95" spans="1:3" ht="18" x14ac:dyDescent="0.3">
      <c r="A95" s="814"/>
      <c r="B95" s="814"/>
      <c r="C95" s="807"/>
    </row>
    <row r="96" spans="1:3" ht="18.75" customHeight="1" x14ac:dyDescent="0.3">
      <c r="A96" s="1217" t="s">
        <v>617</v>
      </c>
      <c r="B96" s="1218"/>
      <c r="C96" s="1218"/>
    </row>
    <row r="97" spans="1:3" ht="14.4" hidden="1" x14ac:dyDescent="0.3">
      <c r="A97" s="815" t="s">
        <v>618</v>
      </c>
      <c r="B97" s="785" t="s">
        <v>607</v>
      </c>
      <c r="C97" s="809">
        <v>2015419</v>
      </c>
    </row>
    <row r="98" spans="1:3" ht="14.4" hidden="1" x14ac:dyDescent="0.3">
      <c r="A98" s="815" t="s">
        <v>619</v>
      </c>
      <c r="B98" s="785" t="s">
        <v>544</v>
      </c>
      <c r="C98" s="809">
        <v>9791022</v>
      </c>
    </row>
    <row r="99" spans="1:3" ht="14.4" hidden="1" x14ac:dyDescent="0.3">
      <c r="A99" s="815" t="s">
        <v>620</v>
      </c>
      <c r="B99" s="785" t="s">
        <v>578</v>
      </c>
      <c r="C99" s="809">
        <v>18901765</v>
      </c>
    </row>
    <row r="100" spans="1:3" ht="14.4" hidden="1" x14ac:dyDescent="0.3">
      <c r="A100" s="815" t="s">
        <v>621</v>
      </c>
      <c r="B100" s="785" t="s">
        <v>622</v>
      </c>
      <c r="C100" s="809">
        <v>26862473</v>
      </c>
    </row>
    <row r="101" spans="1:3" ht="14.4" hidden="1" x14ac:dyDescent="0.3">
      <c r="A101" s="816" t="s">
        <v>623</v>
      </c>
      <c r="B101" s="785" t="s">
        <v>577</v>
      </c>
      <c r="C101" s="810">
        <v>837697</v>
      </c>
    </row>
    <row r="102" spans="1:3" ht="14.4" hidden="1" x14ac:dyDescent="0.3">
      <c r="A102" s="816" t="s">
        <v>623</v>
      </c>
      <c r="B102" s="785" t="s">
        <v>583</v>
      </c>
      <c r="C102" s="810">
        <v>9609990</v>
      </c>
    </row>
    <row r="103" spans="1:3" ht="14.4" hidden="1" x14ac:dyDescent="0.3">
      <c r="A103" s="815" t="s">
        <v>624</v>
      </c>
      <c r="B103" s="785"/>
      <c r="C103" s="809">
        <v>10447687</v>
      </c>
    </row>
    <row r="104" spans="1:3" ht="14.4" hidden="1" x14ac:dyDescent="0.3">
      <c r="A104" s="815" t="s">
        <v>625</v>
      </c>
      <c r="B104" s="785" t="s">
        <v>527</v>
      </c>
      <c r="C104" s="809">
        <v>3502352</v>
      </c>
    </row>
    <row r="105" spans="1:3" ht="14.4" hidden="1" x14ac:dyDescent="0.3">
      <c r="A105" s="815" t="s">
        <v>626</v>
      </c>
      <c r="B105" s="785" t="s">
        <v>627</v>
      </c>
      <c r="C105" s="809">
        <v>21918361</v>
      </c>
    </row>
    <row r="106" spans="1:3" ht="14.4" hidden="1" x14ac:dyDescent="0.3">
      <c r="A106" s="815" t="s">
        <v>628</v>
      </c>
      <c r="B106" s="785" t="s">
        <v>552</v>
      </c>
      <c r="C106" s="809">
        <v>9850086</v>
      </c>
    </row>
    <row r="107" spans="1:3" ht="14.4" hidden="1" x14ac:dyDescent="0.3">
      <c r="A107" s="815" t="s">
        <v>629</v>
      </c>
      <c r="B107" s="785" t="s">
        <v>564</v>
      </c>
      <c r="C107" s="809">
        <v>11218558</v>
      </c>
    </row>
    <row r="108" spans="1:3" ht="14.4" hidden="1" x14ac:dyDescent="0.3">
      <c r="A108" s="815" t="s">
        <v>630</v>
      </c>
      <c r="B108" s="785" t="s">
        <v>572</v>
      </c>
      <c r="C108" s="809">
        <v>3482987</v>
      </c>
    </row>
    <row r="109" spans="1:3" ht="14.4" hidden="1" x14ac:dyDescent="0.3">
      <c r="A109" s="815" t="s">
        <v>631</v>
      </c>
      <c r="B109" s="785" t="s">
        <v>535</v>
      </c>
      <c r="C109" s="809">
        <v>4129092</v>
      </c>
    </row>
    <row r="110" spans="1:3" ht="14.4" hidden="1" x14ac:dyDescent="0.3">
      <c r="A110" s="815" t="s">
        <v>632</v>
      </c>
      <c r="B110" s="785" t="s">
        <v>577</v>
      </c>
      <c r="C110" s="809">
        <v>17265580</v>
      </c>
    </row>
    <row r="111" spans="1:3" ht="14.4" hidden="1" x14ac:dyDescent="0.3">
      <c r="A111" s="816" t="s">
        <v>633</v>
      </c>
      <c r="B111" s="785" t="s">
        <v>525</v>
      </c>
      <c r="C111" s="810">
        <v>3197844</v>
      </c>
    </row>
    <row r="112" spans="1:3" ht="14.4" hidden="1" x14ac:dyDescent="0.3">
      <c r="A112" s="816" t="s">
        <v>633</v>
      </c>
      <c r="B112" s="785" t="s">
        <v>536</v>
      </c>
      <c r="C112" s="810">
        <v>1099265</v>
      </c>
    </row>
    <row r="113" spans="1:3" ht="14.4" hidden="1" x14ac:dyDescent="0.3">
      <c r="A113" s="815" t="s">
        <v>634</v>
      </c>
      <c r="B113" s="785"/>
      <c r="C113" s="809">
        <v>4297109</v>
      </c>
    </row>
    <row r="114" spans="1:3" ht="14.4" hidden="1" x14ac:dyDescent="0.3">
      <c r="A114" s="815" t="s">
        <v>635</v>
      </c>
      <c r="B114" s="785" t="s">
        <v>564</v>
      </c>
      <c r="C114" s="809">
        <v>10571651</v>
      </c>
    </row>
    <row r="115" spans="1:3" ht="14.4" hidden="1" x14ac:dyDescent="0.3">
      <c r="A115" s="815" t="s">
        <v>636</v>
      </c>
      <c r="B115" s="785" t="s">
        <v>531</v>
      </c>
      <c r="C115" s="809">
        <v>14292426</v>
      </c>
    </row>
    <row r="116" spans="1:3" ht="14.4" hidden="1" x14ac:dyDescent="0.3">
      <c r="A116" s="815" t="s">
        <v>637</v>
      </c>
      <c r="B116" s="785" t="s">
        <v>638</v>
      </c>
      <c r="C116" s="809">
        <v>7927013</v>
      </c>
    </row>
    <row r="117" spans="1:3" ht="14.4" hidden="1" x14ac:dyDescent="0.3">
      <c r="A117" s="815" t="s">
        <v>639</v>
      </c>
      <c r="B117" s="785" t="s">
        <v>529</v>
      </c>
      <c r="C117" s="809">
        <v>4701127</v>
      </c>
    </row>
    <row r="118" spans="1:3" ht="14.4" hidden="1" x14ac:dyDescent="0.3">
      <c r="A118" s="815" t="s">
        <v>640</v>
      </c>
      <c r="B118" s="785" t="s">
        <v>641</v>
      </c>
      <c r="C118" s="809">
        <v>9370071</v>
      </c>
    </row>
    <row r="119" spans="1:3" ht="14.4" hidden="1" x14ac:dyDescent="0.3">
      <c r="A119" s="815" t="s">
        <v>642</v>
      </c>
      <c r="B119" s="785" t="s">
        <v>643</v>
      </c>
      <c r="C119" s="809">
        <v>6572340</v>
      </c>
    </row>
    <row r="120" spans="1:3" ht="14.4" hidden="1" x14ac:dyDescent="0.3">
      <c r="A120" s="815" t="s">
        <v>644</v>
      </c>
      <c r="B120" s="785" t="s">
        <v>556</v>
      </c>
      <c r="C120" s="809">
        <v>6844463</v>
      </c>
    </row>
    <row r="121" spans="1:3" ht="14.4" hidden="1" x14ac:dyDescent="0.3">
      <c r="A121" s="815" t="s">
        <v>645</v>
      </c>
      <c r="B121" s="785" t="s">
        <v>556</v>
      </c>
      <c r="C121" s="809">
        <v>14380115</v>
      </c>
    </row>
    <row r="122" spans="1:3" ht="14.4" hidden="1" x14ac:dyDescent="0.3">
      <c r="A122" s="815" t="s">
        <v>646</v>
      </c>
      <c r="B122" s="785" t="s">
        <v>590</v>
      </c>
      <c r="C122" s="809">
        <v>5459479</v>
      </c>
    </row>
    <row r="123" spans="1:3" ht="14.4" hidden="1" x14ac:dyDescent="0.3">
      <c r="A123" s="816" t="s">
        <v>647</v>
      </c>
      <c r="B123" s="785" t="s">
        <v>648</v>
      </c>
      <c r="C123" s="810">
        <v>34575326</v>
      </c>
    </row>
    <row r="124" spans="1:3" ht="14.4" hidden="1" x14ac:dyDescent="0.3">
      <c r="A124" s="816" t="s">
        <v>647</v>
      </c>
      <c r="B124" s="785" t="s">
        <v>578</v>
      </c>
      <c r="C124" s="810">
        <v>1928833</v>
      </c>
    </row>
    <row r="125" spans="1:3" ht="14.4" hidden="1" x14ac:dyDescent="0.3">
      <c r="A125" s="815" t="s">
        <v>649</v>
      </c>
      <c r="B125" s="785"/>
      <c r="C125" s="809">
        <v>36504159</v>
      </c>
    </row>
    <row r="126" spans="1:3" ht="14.4" hidden="1" x14ac:dyDescent="0.3">
      <c r="A126" s="815" t="s">
        <v>650</v>
      </c>
      <c r="B126" s="785" t="s">
        <v>527</v>
      </c>
      <c r="C126" s="809">
        <v>3520551</v>
      </c>
    </row>
    <row r="127" spans="1:3" ht="14.4" hidden="1" x14ac:dyDescent="0.3">
      <c r="A127" s="815" t="s">
        <v>651</v>
      </c>
      <c r="B127" s="785" t="s">
        <v>578</v>
      </c>
      <c r="C127" s="809">
        <v>23305123</v>
      </c>
    </row>
    <row r="128" spans="1:3" ht="14.4" hidden="1" x14ac:dyDescent="0.3">
      <c r="A128" s="815" t="s">
        <v>652</v>
      </c>
      <c r="B128" s="785" t="s">
        <v>544</v>
      </c>
      <c r="C128" s="809">
        <v>5438336</v>
      </c>
    </row>
    <row r="129" spans="1:3" ht="14.4" hidden="1" x14ac:dyDescent="0.3">
      <c r="A129" s="815" t="s">
        <v>653</v>
      </c>
      <c r="B129" s="785" t="s">
        <v>556</v>
      </c>
      <c r="C129" s="809">
        <v>11026420</v>
      </c>
    </row>
    <row r="130" spans="1:3" ht="14.4" hidden="1" x14ac:dyDescent="0.3">
      <c r="A130" s="815" t="s">
        <v>654</v>
      </c>
      <c r="B130" s="785" t="s">
        <v>536</v>
      </c>
      <c r="C130" s="809">
        <v>9393651</v>
      </c>
    </row>
    <row r="131" spans="1:3" ht="14.4" hidden="1" x14ac:dyDescent="0.3">
      <c r="A131" s="816" t="s">
        <v>655</v>
      </c>
      <c r="B131" s="785" t="s">
        <v>525</v>
      </c>
      <c r="C131" s="810">
        <v>1040785</v>
      </c>
    </row>
    <row r="132" spans="1:3" ht="14.4" hidden="1" x14ac:dyDescent="0.3">
      <c r="A132" s="816" t="s">
        <v>655</v>
      </c>
      <c r="B132" s="785" t="s">
        <v>568</v>
      </c>
      <c r="C132" s="810">
        <v>4269595</v>
      </c>
    </row>
    <row r="133" spans="1:3" ht="14.4" hidden="1" x14ac:dyDescent="0.3">
      <c r="A133" s="815" t="s">
        <v>656</v>
      </c>
      <c r="B133" s="785"/>
      <c r="C133" s="809">
        <v>5310380</v>
      </c>
    </row>
    <row r="134" spans="1:3" ht="14.4" hidden="1" x14ac:dyDescent="0.3">
      <c r="A134" s="816" t="s">
        <v>657</v>
      </c>
      <c r="B134" s="785" t="s">
        <v>543</v>
      </c>
      <c r="C134" s="810">
        <v>297992</v>
      </c>
    </row>
    <row r="135" spans="1:3" ht="14.4" hidden="1" x14ac:dyDescent="0.3">
      <c r="A135" s="816" t="s">
        <v>657</v>
      </c>
      <c r="B135" s="785" t="s">
        <v>568</v>
      </c>
      <c r="C135" s="810">
        <v>2739314</v>
      </c>
    </row>
    <row r="136" spans="1:3" ht="14.4" hidden="1" x14ac:dyDescent="0.3">
      <c r="A136" s="815" t="s">
        <v>658</v>
      </c>
      <c r="B136" s="785"/>
      <c r="C136" s="809">
        <v>3037306</v>
      </c>
    </row>
    <row r="137" spans="1:3" ht="14.4" hidden="1" x14ac:dyDescent="0.3">
      <c r="A137" s="815" t="s">
        <v>659</v>
      </c>
      <c r="B137" s="785" t="s">
        <v>527</v>
      </c>
      <c r="C137" s="809">
        <v>2809762</v>
      </c>
    </row>
    <row r="138" spans="1:3" ht="14.4" hidden="1" x14ac:dyDescent="0.3">
      <c r="A138" s="815" t="s">
        <v>660</v>
      </c>
      <c r="B138" s="785" t="s">
        <v>550</v>
      </c>
      <c r="C138" s="809">
        <v>10490108</v>
      </c>
    </row>
    <row r="139" spans="1:3" ht="14.4" hidden="1" x14ac:dyDescent="0.3">
      <c r="A139" s="815" t="s">
        <v>661</v>
      </c>
      <c r="B139" s="785" t="s">
        <v>536</v>
      </c>
      <c r="C139" s="809">
        <v>8217666</v>
      </c>
    </row>
    <row r="140" spans="1:3" ht="14.4" hidden="1" x14ac:dyDescent="0.3">
      <c r="A140" s="816" t="s">
        <v>662</v>
      </c>
      <c r="B140" s="785" t="s">
        <v>641</v>
      </c>
      <c r="C140" s="810">
        <v>813143</v>
      </c>
    </row>
    <row r="141" spans="1:3" ht="14.4" hidden="1" x14ac:dyDescent="0.3">
      <c r="A141" s="816" t="s">
        <v>662</v>
      </c>
      <c r="B141" s="785" t="s">
        <v>525</v>
      </c>
      <c r="C141" s="810">
        <v>2673747</v>
      </c>
    </row>
    <row r="142" spans="1:3" ht="14.4" hidden="1" x14ac:dyDescent="0.3">
      <c r="A142" s="815" t="s">
        <v>663</v>
      </c>
      <c r="B142" s="785"/>
      <c r="C142" s="809">
        <v>3486890</v>
      </c>
    </row>
    <row r="143" spans="1:3" ht="14.4" hidden="1" x14ac:dyDescent="0.3">
      <c r="A143" s="815" t="s">
        <v>664</v>
      </c>
      <c r="B143" s="785" t="s">
        <v>535</v>
      </c>
      <c r="C143" s="809">
        <v>3361345</v>
      </c>
    </row>
    <row r="144" spans="1:3" ht="14.4" hidden="1" x14ac:dyDescent="0.3">
      <c r="A144" s="815" t="s">
        <v>665</v>
      </c>
      <c r="B144" s="785" t="s">
        <v>564</v>
      </c>
      <c r="C144" s="809">
        <v>20735025</v>
      </c>
    </row>
    <row r="145" spans="1:3" ht="14.4" hidden="1" x14ac:dyDescent="0.3">
      <c r="A145" s="815" t="s">
        <v>666</v>
      </c>
      <c r="B145" s="785" t="s">
        <v>527</v>
      </c>
      <c r="C145" s="809">
        <v>8122472</v>
      </c>
    </row>
    <row r="146" spans="1:3" ht="14.4" hidden="1" x14ac:dyDescent="0.3">
      <c r="A146" s="816" t="s">
        <v>667</v>
      </c>
      <c r="B146" s="785" t="s">
        <v>539</v>
      </c>
      <c r="C146" s="810">
        <v>2972191</v>
      </c>
    </row>
    <row r="147" spans="1:3" ht="14.4" hidden="1" x14ac:dyDescent="0.3">
      <c r="A147" s="816" t="s">
        <v>667</v>
      </c>
      <c r="B147" s="785" t="s">
        <v>668</v>
      </c>
      <c r="C147" s="810">
        <v>3389566</v>
      </c>
    </row>
    <row r="148" spans="1:3" ht="14.4" hidden="1" x14ac:dyDescent="0.3">
      <c r="A148" s="815" t="s">
        <v>669</v>
      </c>
      <c r="B148" s="785"/>
      <c r="C148" s="809">
        <v>6361757</v>
      </c>
    </row>
    <row r="149" spans="1:3" ht="14.4" hidden="1" x14ac:dyDescent="0.3">
      <c r="A149" s="815" t="s">
        <v>670</v>
      </c>
      <c r="B149" s="785" t="s">
        <v>544</v>
      </c>
      <c r="C149" s="809">
        <v>19204764</v>
      </c>
    </row>
    <row r="150" spans="1:3" ht="14.4" hidden="1" x14ac:dyDescent="0.3">
      <c r="A150" s="815" t="s">
        <v>671</v>
      </c>
      <c r="B150" s="785" t="s">
        <v>556</v>
      </c>
      <c r="C150" s="809">
        <v>8380897</v>
      </c>
    </row>
    <row r="151" spans="1:3" ht="14.4" hidden="1" x14ac:dyDescent="0.3">
      <c r="A151" s="815" t="s">
        <v>672</v>
      </c>
      <c r="B151" s="785" t="s">
        <v>556</v>
      </c>
      <c r="C151" s="809">
        <v>3640838</v>
      </c>
    </row>
    <row r="152" spans="1:3" ht="14.4" hidden="1" x14ac:dyDescent="0.3">
      <c r="A152" s="815" t="s">
        <v>673</v>
      </c>
      <c r="B152" s="785" t="s">
        <v>527</v>
      </c>
      <c r="C152" s="809">
        <v>11055379</v>
      </c>
    </row>
    <row r="153" spans="1:3" ht="14.4" hidden="1" x14ac:dyDescent="0.3">
      <c r="A153" s="815" t="s">
        <v>674</v>
      </c>
      <c r="B153" s="785" t="s">
        <v>668</v>
      </c>
      <c r="C153" s="809">
        <v>9235128</v>
      </c>
    </row>
    <row r="154" spans="1:3" ht="14.4" hidden="1" x14ac:dyDescent="0.3">
      <c r="A154" s="815" t="s">
        <v>675</v>
      </c>
      <c r="B154" s="785" t="s">
        <v>535</v>
      </c>
      <c r="C154" s="809">
        <v>10149600</v>
      </c>
    </row>
    <row r="155" spans="1:3" ht="14.4" hidden="1" x14ac:dyDescent="0.3">
      <c r="A155" s="816" t="s">
        <v>676</v>
      </c>
      <c r="B155" s="785" t="s">
        <v>622</v>
      </c>
      <c r="C155" s="810">
        <v>630149</v>
      </c>
    </row>
    <row r="156" spans="1:3" ht="14.4" hidden="1" x14ac:dyDescent="0.3">
      <c r="A156" s="816" t="s">
        <v>676</v>
      </c>
      <c r="B156" s="785" t="s">
        <v>527</v>
      </c>
      <c r="C156" s="810">
        <v>17058790</v>
      </c>
    </row>
    <row r="157" spans="1:3" ht="14.4" hidden="1" x14ac:dyDescent="0.3">
      <c r="A157" s="815" t="s">
        <v>677</v>
      </c>
      <c r="B157" s="785"/>
      <c r="C157" s="809">
        <v>17688939</v>
      </c>
    </row>
    <row r="158" spans="1:3" ht="14.4" hidden="1" x14ac:dyDescent="0.3">
      <c r="A158" s="815" t="s">
        <v>678</v>
      </c>
      <c r="B158" s="785" t="s">
        <v>589</v>
      </c>
      <c r="C158" s="809">
        <v>9456905</v>
      </c>
    </row>
    <row r="159" spans="1:3" ht="14.4" hidden="1" x14ac:dyDescent="0.3">
      <c r="A159" s="815" t="s">
        <v>679</v>
      </c>
      <c r="B159" s="785" t="s">
        <v>540</v>
      </c>
      <c r="C159" s="809">
        <v>2882892</v>
      </c>
    </row>
    <row r="160" spans="1:3" ht="14.4" hidden="1" x14ac:dyDescent="0.3">
      <c r="A160" s="816" t="s">
        <v>680</v>
      </c>
      <c r="B160" s="785" t="s">
        <v>574</v>
      </c>
      <c r="C160" s="810">
        <v>856812</v>
      </c>
    </row>
    <row r="161" spans="1:3" ht="14.4" hidden="1" x14ac:dyDescent="0.3">
      <c r="A161" s="816" t="s">
        <v>680</v>
      </c>
      <c r="B161" s="785" t="s">
        <v>681</v>
      </c>
      <c r="C161" s="810">
        <v>2965773</v>
      </c>
    </row>
    <row r="162" spans="1:3" ht="14.4" hidden="1" x14ac:dyDescent="0.3">
      <c r="A162" s="815" t="s">
        <v>682</v>
      </c>
      <c r="B162" s="785"/>
      <c r="C162" s="809">
        <v>3822585</v>
      </c>
    </row>
    <row r="163" spans="1:3" ht="14.4" hidden="1" x14ac:dyDescent="0.3">
      <c r="A163" s="815" t="s">
        <v>683</v>
      </c>
      <c r="B163" s="785" t="s">
        <v>535</v>
      </c>
      <c r="C163" s="809">
        <v>5029306</v>
      </c>
    </row>
    <row r="164" spans="1:3" ht="14.4" hidden="1" x14ac:dyDescent="0.3">
      <c r="A164" s="816" t="s">
        <v>684</v>
      </c>
      <c r="B164" s="785" t="s">
        <v>566</v>
      </c>
      <c r="C164" s="810">
        <v>4111021</v>
      </c>
    </row>
    <row r="165" spans="1:3" ht="14.4" hidden="1" x14ac:dyDescent="0.3">
      <c r="A165" s="816" t="s">
        <v>684</v>
      </c>
      <c r="B165" s="785" t="s">
        <v>559</v>
      </c>
      <c r="C165" s="810">
        <v>274</v>
      </c>
    </row>
    <row r="166" spans="1:3" ht="14.4" hidden="1" x14ac:dyDescent="0.3">
      <c r="A166" s="815" t="s">
        <v>685</v>
      </c>
      <c r="B166" s="785"/>
      <c r="C166" s="809">
        <v>4111295</v>
      </c>
    </row>
    <row r="167" spans="1:3" ht="14.4" hidden="1" x14ac:dyDescent="0.3">
      <c r="A167" s="815" t="s">
        <v>686</v>
      </c>
      <c r="B167" s="785" t="s">
        <v>552</v>
      </c>
      <c r="C167" s="809">
        <v>8416014</v>
      </c>
    </row>
    <row r="168" spans="1:3" ht="14.4" hidden="1" x14ac:dyDescent="0.3">
      <c r="A168" s="815" t="s">
        <v>687</v>
      </c>
      <c r="B168" s="785" t="s">
        <v>550</v>
      </c>
      <c r="C168" s="809">
        <v>5761300</v>
      </c>
    </row>
    <row r="169" spans="1:3" ht="14.4" hidden="1" x14ac:dyDescent="0.3">
      <c r="A169" s="815" t="s">
        <v>688</v>
      </c>
      <c r="B169" s="785" t="s">
        <v>540</v>
      </c>
      <c r="C169" s="809">
        <v>4562441</v>
      </c>
    </row>
    <row r="170" spans="1:3" ht="14.4" hidden="1" x14ac:dyDescent="0.3">
      <c r="A170" s="815" t="s">
        <v>689</v>
      </c>
      <c r="B170" s="785" t="s">
        <v>564</v>
      </c>
      <c r="C170" s="809">
        <v>14824847</v>
      </c>
    </row>
    <row r="171" spans="1:3" ht="14.4" hidden="1" x14ac:dyDescent="0.3">
      <c r="A171" s="815" t="s">
        <v>690</v>
      </c>
      <c r="B171" s="785" t="s">
        <v>556</v>
      </c>
      <c r="C171" s="809">
        <v>6287061</v>
      </c>
    </row>
    <row r="172" spans="1:3" ht="14.4" hidden="1" x14ac:dyDescent="0.3">
      <c r="A172" s="815" t="s">
        <v>691</v>
      </c>
      <c r="B172" s="785" t="s">
        <v>552</v>
      </c>
      <c r="C172" s="809">
        <v>13369994</v>
      </c>
    </row>
    <row r="173" spans="1:3" ht="14.4" hidden="1" x14ac:dyDescent="0.3">
      <c r="A173" s="815" t="s">
        <v>692</v>
      </c>
      <c r="B173" s="785" t="s">
        <v>572</v>
      </c>
      <c r="C173" s="809">
        <v>3056654</v>
      </c>
    </row>
    <row r="174" spans="1:3" ht="14.4" hidden="1" x14ac:dyDescent="0.3">
      <c r="A174" s="815" t="s">
        <v>693</v>
      </c>
      <c r="B174" s="785" t="s">
        <v>535</v>
      </c>
      <c r="C174" s="809">
        <v>7229713</v>
      </c>
    </row>
    <row r="175" spans="1:3" ht="14.4" hidden="1" x14ac:dyDescent="0.3">
      <c r="A175" s="815" t="s">
        <v>694</v>
      </c>
      <c r="B175" s="785" t="s">
        <v>536</v>
      </c>
      <c r="C175" s="809">
        <v>3930375</v>
      </c>
    </row>
    <row r="176" spans="1:3" ht="14.4" hidden="1" x14ac:dyDescent="0.3">
      <c r="A176" s="815" t="s">
        <v>695</v>
      </c>
      <c r="B176" s="785" t="s">
        <v>567</v>
      </c>
      <c r="C176" s="809">
        <v>3511743</v>
      </c>
    </row>
    <row r="177" spans="1:5" ht="14.4" hidden="1" x14ac:dyDescent="0.3">
      <c r="A177" s="815" t="s">
        <v>696</v>
      </c>
      <c r="B177" s="785" t="s">
        <v>583</v>
      </c>
      <c r="C177" s="809">
        <v>8999636</v>
      </c>
    </row>
    <row r="178" spans="1:5" ht="14.4" hidden="1" x14ac:dyDescent="0.3">
      <c r="A178" s="815" t="s">
        <v>697</v>
      </c>
      <c r="B178" s="785" t="s">
        <v>648</v>
      </c>
      <c r="C178" s="809">
        <v>32979093</v>
      </c>
    </row>
    <row r="179" spans="1:5" ht="14.4" hidden="1" x14ac:dyDescent="0.3">
      <c r="A179" s="815" t="s">
        <v>698</v>
      </c>
      <c r="B179" s="785" t="s">
        <v>535</v>
      </c>
      <c r="C179" s="809">
        <v>2232044</v>
      </c>
    </row>
    <row r="180" spans="1:5" ht="14.4" hidden="1" x14ac:dyDescent="0.3">
      <c r="A180" s="815" t="s">
        <v>699</v>
      </c>
      <c r="B180" s="785" t="s">
        <v>700</v>
      </c>
      <c r="C180" s="809">
        <v>39196083</v>
      </c>
    </row>
    <row r="181" spans="1:5" ht="14.4" hidden="1" x14ac:dyDescent="0.3">
      <c r="A181" s="816" t="s">
        <v>701</v>
      </c>
      <c r="B181" s="785" t="s">
        <v>543</v>
      </c>
      <c r="C181" s="810">
        <v>870570</v>
      </c>
    </row>
    <row r="182" spans="1:5" ht="14.4" hidden="1" x14ac:dyDescent="0.3">
      <c r="A182" s="816" t="s">
        <v>701</v>
      </c>
      <c r="B182" s="785" t="s">
        <v>544</v>
      </c>
      <c r="C182" s="810">
        <v>505812</v>
      </c>
      <c r="D182" s="817"/>
      <c r="E182" s="818"/>
    </row>
    <row r="183" spans="1:5" ht="14.4" hidden="1" x14ac:dyDescent="0.3">
      <c r="A183" s="816" t="s">
        <v>701</v>
      </c>
      <c r="B183" s="785" t="s">
        <v>702</v>
      </c>
      <c r="C183" s="810">
        <v>1780912</v>
      </c>
    </row>
    <row r="184" spans="1:5" ht="14.4" hidden="1" x14ac:dyDescent="0.3">
      <c r="A184" s="815" t="s">
        <v>703</v>
      </c>
      <c r="B184" s="785"/>
      <c r="C184" s="809">
        <v>3157294</v>
      </c>
    </row>
    <row r="185" spans="1:5" ht="14.4" hidden="1" x14ac:dyDescent="0.3">
      <c r="A185" s="815" t="s">
        <v>704</v>
      </c>
      <c r="B185" s="785" t="s">
        <v>641</v>
      </c>
      <c r="C185" s="809">
        <v>3792919</v>
      </c>
    </row>
    <row r="186" spans="1:5" ht="14.4" hidden="1" x14ac:dyDescent="0.3">
      <c r="A186" s="815" t="s">
        <v>705</v>
      </c>
      <c r="B186" s="785" t="s">
        <v>564</v>
      </c>
      <c r="C186" s="809">
        <v>7527522</v>
      </c>
    </row>
    <row r="187" spans="1:5" ht="14.4" hidden="1" x14ac:dyDescent="0.3">
      <c r="A187" s="815" t="s">
        <v>706</v>
      </c>
      <c r="B187" s="785" t="s">
        <v>567</v>
      </c>
      <c r="C187" s="809">
        <v>3568203</v>
      </c>
    </row>
    <row r="188" spans="1:5" ht="14.4" hidden="1" x14ac:dyDescent="0.3">
      <c r="A188" s="815" t="s">
        <v>707</v>
      </c>
      <c r="B188" s="785" t="s">
        <v>552</v>
      </c>
      <c r="C188" s="809">
        <v>3804661</v>
      </c>
    </row>
    <row r="189" spans="1:5" ht="14.4" hidden="1" x14ac:dyDescent="0.3">
      <c r="A189" s="815" t="s">
        <v>708</v>
      </c>
      <c r="B189" s="785" t="s">
        <v>590</v>
      </c>
      <c r="C189" s="809">
        <v>9283725</v>
      </c>
    </row>
    <row r="190" spans="1:5" ht="14.4" hidden="1" x14ac:dyDescent="0.3">
      <c r="A190" s="815" t="s">
        <v>709</v>
      </c>
      <c r="B190" s="785" t="s">
        <v>527</v>
      </c>
      <c r="C190" s="809">
        <v>3054217</v>
      </c>
    </row>
    <row r="191" spans="1:5" ht="14.4" hidden="1" x14ac:dyDescent="0.3">
      <c r="A191" s="815" t="s">
        <v>710</v>
      </c>
      <c r="B191" s="785" t="s">
        <v>556</v>
      </c>
      <c r="C191" s="809">
        <v>8721073</v>
      </c>
    </row>
    <row r="192" spans="1:5" ht="14.4" hidden="1" x14ac:dyDescent="0.3">
      <c r="A192" s="815" t="s">
        <v>711</v>
      </c>
      <c r="B192" s="785" t="s">
        <v>568</v>
      </c>
      <c r="C192" s="809">
        <v>8731378</v>
      </c>
    </row>
    <row r="193" spans="1:3" ht="14.4" hidden="1" x14ac:dyDescent="0.3">
      <c r="A193" s="815" t="s">
        <v>712</v>
      </c>
      <c r="B193" s="785" t="s">
        <v>638</v>
      </c>
      <c r="C193" s="809">
        <v>3140013</v>
      </c>
    </row>
    <row r="194" spans="1:3" ht="14.4" x14ac:dyDescent="0.3">
      <c r="A194" s="816" t="s">
        <v>270</v>
      </c>
      <c r="B194" s="785" t="s">
        <v>564</v>
      </c>
      <c r="C194" s="810">
        <v>2682893</v>
      </c>
    </row>
    <row r="195" spans="1:3" ht="14.4" x14ac:dyDescent="0.3">
      <c r="A195" s="816" t="s">
        <v>270</v>
      </c>
      <c r="B195" s="785" t="s">
        <v>562</v>
      </c>
      <c r="C195" s="810">
        <v>1219321</v>
      </c>
    </row>
    <row r="196" spans="1:3" ht="14.4" x14ac:dyDescent="0.3">
      <c r="A196" s="815" t="s">
        <v>713</v>
      </c>
      <c r="B196" s="785"/>
      <c r="C196" s="827">
        <v>3902214</v>
      </c>
    </row>
    <row r="197" spans="1:3" ht="14.4" hidden="1" x14ac:dyDescent="0.3">
      <c r="A197" s="815" t="s">
        <v>714</v>
      </c>
      <c r="B197" s="785" t="s">
        <v>556</v>
      </c>
      <c r="C197" s="809">
        <v>4148288</v>
      </c>
    </row>
    <row r="198" spans="1:3" ht="14.4" hidden="1" x14ac:dyDescent="0.3">
      <c r="A198" s="815" t="s">
        <v>715</v>
      </c>
      <c r="B198" s="785" t="s">
        <v>583</v>
      </c>
      <c r="C198" s="809">
        <v>11477094</v>
      </c>
    </row>
    <row r="199" spans="1:3" ht="14.4" hidden="1" x14ac:dyDescent="0.3">
      <c r="A199" s="815" t="s">
        <v>716</v>
      </c>
      <c r="B199" s="785" t="s">
        <v>552</v>
      </c>
      <c r="C199" s="809">
        <v>8215030</v>
      </c>
    </row>
    <row r="200" spans="1:3" ht="14.4" hidden="1" x14ac:dyDescent="0.3">
      <c r="A200" s="815" t="s">
        <v>717</v>
      </c>
      <c r="B200" s="785" t="s">
        <v>527</v>
      </c>
      <c r="C200" s="809">
        <v>4789395</v>
      </c>
    </row>
    <row r="201" spans="1:3" ht="14.4" hidden="1" x14ac:dyDescent="0.3">
      <c r="A201" s="815" t="s">
        <v>718</v>
      </c>
      <c r="B201" s="785" t="s">
        <v>543</v>
      </c>
      <c r="C201" s="809">
        <v>6803573</v>
      </c>
    </row>
    <row r="202" spans="1:3" ht="14.4" hidden="1" x14ac:dyDescent="0.3">
      <c r="A202" s="815" t="s">
        <v>719</v>
      </c>
      <c r="B202" s="785" t="s">
        <v>720</v>
      </c>
      <c r="C202" s="809">
        <v>5134850</v>
      </c>
    </row>
    <row r="203" spans="1:3" ht="14.4" hidden="1" x14ac:dyDescent="0.3">
      <c r="A203" s="815" t="s">
        <v>721</v>
      </c>
      <c r="B203" s="785" t="s">
        <v>566</v>
      </c>
      <c r="C203" s="809">
        <v>7370487</v>
      </c>
    </row>
    <row r="204" spans="1:3" ht="14.4" hidden="1" x14ac:dyDescent="0.3">
      <c r="A204" s="815" t="s">
        <v>722</v>
      </c>
      <c r="B204" s="785" t="s">
        <v>564</v>
      </c>
      <c r="C204" s="809">
        <v>7917121</v>
      </c>
    </row>
    <row r="205" spans="1:3" ht="14.4" hidden="1" x14ac:dyDescent="0.3">
      <c r="A205" s="816" t="s">
        <v>723</v>
      </c>
      <c r="B205" s="785" t="s">
        <v>540</v>
      </c>
      <c r="C205" s="810">
        <v>2668159</v>
      </c>
    </row>
    <row r="206" spans="1:3" ht="14.4" hidden="1" x14ac:dyDescent="0.3">
      <c r="A206" s="816" t="s">
        <v>723</v>
      </c>
      <c r="B206" s="785" t="s">
        <v>543</v>
      </c>
      <c r="C206" s="810">
        <v>15653126</v>
      </c>
    </row>
    <row r="207" spans="1:3" ht="14.4" hidden="1" x14ac:dyDescent="0.3">
      <c r="A207" s="815" t="s">
        <v>724</v>
      </c>
      <c r="B207" s="785"/>
      <c r="C207" s="809">
        <v>18321285</v>
      </c>
    </row>
    <row r="208" spans="1:3" ht="14.4" hidden="1" x14ac:dyDescent="0.3">
      <c r="A208" s="815" t="s">
        <v>725</v>
      </c>
      <c r="B208" s="785" t="s">
        <v>527</v>
      </c>
      <c r="C208" s="809">
        <v>4746010</v>
      </c>
    </row>
    <row r="209" spans="1:3" ht="14.4" hidden="1" x14ac:dyDescent="0.3">
      <c r="A209" s="815" t="s">
        <v>726</v>
      </c>
      <c r="B209" s="785" t="s">
        <v>572</v>
      </c>
      <c r="C209" s="809">
        <v>10456428</v>
      </c>
    </row>
    <row r="210" spans="1:3" ht="14.4" hidden="1" x14ac:dyDescent="0.3">
      <c r="A210" s="815" t="s">
        <v>727</v>
      </c>
      <c r="B210" s="785" t="s">
        <v>527</v>
      </c>
      <c r="C210" s="809">
        <v>9939163</v>
      </c>
    </row>
    <row r="211" spans="1:3" ht="14.4" hidden="1" x14ac:dyDescent="0.3">
      <c r="A211" s="815" t="s">
        <v>728</v>
      </c>
      <c r="B211" s="785" t="s">
        <v>527</v>
      </c>
      <c r="C211" s="809">
        <v>5630488</v>
      </c>
    </row>
    <row r="212" spans="1:3" ht="14.4" hidden="1" x14ac:dyDescent="0.3">
      <c r="A212" s="815" t="s">
        <v>729</v>
      </c>
      <c r="B212" s="785" t="s">
        <v>564</v>
      </c>
      <c r="C212" s="809">
        <v>13439711</v>
      </c>
    </row>
    <row r="213" spans="1:3" ht="14.4" hidden="1" x14ac:dyDescent="0.3">
      <c r="A213" s="815" t="s">
        <v>730</v>
      </c>
      <c r="B213" s="785" t="s">
        <v>641</v>
      </c>
      <c r="C213" s="809">
        <v>4097504</v>
      </c>
    </row>
    <row r="214" spans="1:3" ht="14.4" hidden="1" x14ac:dyDescent="0.3">
      <c r="A214" s="815" t="s">
        <v>731</v>
      </c>
      <c r="B214" s="785" t="s">
        <v>564</v>
      </c>
      <c r="C214" s="809">
        <v>7290308</v>
      </c>
    </row>
    <row r="215" spans="1:3" ht="14.4" hidden="1" x14ac:dyDescent="0.3">
      <c r="A215" s="815" t="s">
        <v>732</v>
      </c>
      <c r="B215" s="785" t="s">
        <v>641</v>
      </c>
      <c r="C215" s="809">
        <v>3466679</v>
      </c>
    </row>
    <row r="216" spans="1:3" ht="14.4" hidden="1" x14ac:dyDescent="0.3">
      <c r="A216" s="816" t="s">
        <v>733</v>
      </c>
      <c r="B216" s="785" t="s">
        <v>535</v>
      </c>
      <c r="C216" s="810">
        <v>257584</v>
      </c>
    </row>
    <row r="217" spans="1:3" ht="14.4" hidden="1" x14ac:dyDescent="0.3">
      <c r="A217" s="816" t="s">
        <v>733</v>
      </c>
      <c r="B217" s="785" t="s">
        <v>536</v>
      </c>
      <c r="C217" s="810">
        <v>3025701</v>
      </c>
    </row>
    <row r="218" spans="1:3" ht="14.4" hidden="1" x14ac:dyDescent="0.3">
      <c r="A218" s="815" t="s">
        <v>734</v>
      </c>
      <c r="B218" s="785"/>
      <c r="C218" s="809">
        <v>3283285</v>
      </c>
    </row>
    <row r="219" spans="1:3" ht="14.4" hidden="1" x14ac:dyDescent="0.3">
      <c r="A219" s="816" t="s">
        <v>735</v>
      </c>
      <c r="B219" s="785" t="s">
        <v>531</v>
      </c>
      <c r="C219" s="810">
        <v>8038</v>
      </c>
    </row>
    <row r="220" spans="1:3" ht="14.4" hidden="1" x14ac:dyDescent="0.3">
      <c r="A220" s="816" t="s">
        <v>735</v>
      </c>
      <c r="B220" s="785" t="s">
        <v>532</v>
      </c>
      <c r="C220" s="810">
        <v>2335974</v>
      </c>
    </row>
    <row r="221" spans="1:3" ht="14.4" hidden="1" x14ac:dyDescent="0.3">
      <c r="A221" s="815" t="s">
        <v>736</v>
      </c>
      <c r="B221" s="785"/>
      <c r="C221" s="809">
        <v>2344012</v>
      </c>
    </row>
    <row r="222" spans="1:3" ht="14.4" hidden="1" x14ac:dyDescent="0.3">
      <c r="A222" s="815" t="s">
        <v>737</v>
      </c>
      <c r="B222" s="785" t="s">
        <v>556</v>
      </c>
      <c r="C222" s="809">
        <v>3134785</v>
      </c>
    </row>
    <row r="223" spans="1:3" ht="14.4" hidden="1" x14ac:dyDescent="0.3">
      <c r="A223" s="815" t="s">
        <v>738</v>
      </c>
      <c r="B223" s="785" t="s">
        <v>648</v>
      </c>
      <c r="C223" s="809">
        <v>29715195</v>
      </c>
    </row>
    <row r="224" spans="1:3" ht="14.4" hidden="1" x14ac:dyDescent="0.3">
      <c r="A224" s="815" t="s">
        <v>739</v>
      </c>
      <c r="B224" s="785" t="s">
        <v>638</v>
      </c>
      <c r="C224" s="809">
        <v>21602399</v>
      </c>
    </row>
    <row r="225" spans="1:3" ht="14.4" hidden="1" x14ac:dyDescent="0.3">
      <c r="A225" s="815" t="s">
        <v>740</v>
      </c>
      <c r="B225" s="785" t="s">
        <v>601</v>
      </c>
      <c r="C225" s="809">
        <v>18292109</v>
      </c>
    </row>
    <row r="226" spans="1:3" ht="14.4" hidden="1" x14ac:dyDescent="0.3">
      <c r="A226" s="815" t="s">
        <v>741</v>
      </c>
      <c r="B226" s="785" t="s">
        <v>742</v>
      </c>
      <c r="C226" s="809">
        <v>13934722</v>
      </c>
    </row>
    <row r="227" spans="1:3" ht="14.4" hidden="1" x14ac:dyDescent="0.3">
      <c r="A227" s="815" t="s">
        <v>743</v>
      </c>
      <c r="B227" s="785" t="s">
        <v>590</v>
      </c>
      <c r="C227" s="809">
        <v>5863599</v>
      </c>
    </row>
    <row r="228" spans="1:3" ht="14.4" hidden="1" x14ac:dyDescent="0.3">
      <c r="A228" s="816" t="s">
        <v>744</v>
      </c>
      <c r="B228" s="785" t="s">
        <v>668</v>
      </c>
      <c r="C228" s="810">
        <v>1053468</v>
      </c>
    </row>
    <row r="229" spans="1:3" ht="14.4" hidden="1" x14ac:dyDescent="0.3">
      <c r="A229" s="816" t="s">
        <v>744</v>
      </c>
      <c r="B229" s="785" t="s">
        <v>720</v>
      </c>
      <c r="C229" s="810">
        <v>11574551</v>
      </c>
    </row>
    <row r="230" spans="1:3" ht="14.4" hidden="1" x14ac:dyDescent="0.3">
      <c r="A230" s="815" t="s">
        <v>745</v>
      </c>
      <c r="B230" s="785"/>
      <c r="C230" s="809">
        <v>12628019</v>
      </c>
    </row>
    <row r="231" spans="1:3" ht="14.4" hidden="1" x14ac:dyDescent="0.3">
      <c r="A231" s="815" t="s">
        <v>746</v>
      </c>
      <c r="B231" s="785" t="s">
        <v>564</v>
      </c>
      <c r="C231" s="809">
        <v>12396640</v>
      </c>
    </row>
    <row r="232" spans="1:3" ht="14.4" hidden="1" x14ac:dyDescent="0.3">
      <c r="A232" s="815" t="s">
        <v>747</v>
      </c>
      <c r="B232" s="785" t="s">
        <v>556</v>
      </c>
      <c r="C232" s="809">
        <v>8825162</v>
      </c>
    </row>
    <row r="233" spans="1:3" ht="14.4" hidden="1" x14ac:dyDescent="0.3">
      <c r="A233" s="815" t="s">
        <v>748</v>
      </c>
      <c r="B233" s="785" t="s">
        <v>564</v>
      </c>
      <c r="C233" s="809">
        <v>12888176</v>
      </c>
    </row>
    <row r="234" spans="1:3" ht="14.4" hidden="1" x14ac:dyDescent="0.3">
      <c r="A234" s="816" t="s">
        <v>749</v>
      </c>
      <c r="B234" s="785" t="s">
        <v>641</v>
      </c>
      <c r="C234" s="810">
        <v>152977</v>
      </c>
    </row>
    <row r="235" spans="1:3" ht="14.4" hidden="1" x14ac:dyDescent="0.3">
      <c r="A235" s="816" t="s">
        <v>749</v>
      </c>
      <c r="B235" s="785" t="s">
        <v>556</v>
      </c>
      <c r="C235" s="810">
        <v>5997436</v>
      </c>
    </row>
    <row r="236" spans="1:3" ht="14.4" hidden="1" x14ac:dyDescent="0.3">
      <c r="A236" s="815" t="s">
        <v>750</v>
      </c>
      <c r="B236" s="785"/>
      <c r="C236" s="809">
        <v>6150413</v>
      </c>
    </row>
    <row r="237" spans="1:3" ht="14.4" hidden="1" x14ac:dyDescent="0.3">
      <c r="A237" s="815" t="s">
        <v>751</v>
      </c>
      <c r="B237" s="785" t="s">
        <v>539</v>
      </c>
      <c r="C237" s="809">
        <v>4690672</v>
      </c>
    </row>
    <row r="238" spans="1:3" ht="14.4" hidden="1" x14ac:dyDescent="0.3">
      <c r="A238" s="815" t="s">
        <v>752</v>
      </c>
      <c r="B238" s="785" t="s">
        <v>586</v>
      </c>
      <c r="C238" s="809">
        <v>7198784</v>
      </c>
    </row>
    <row r="239" spans="1:3" ht="14.4" hidden="1" x14ac:dyDescent="0.3">
      <c r="A239" s="815" t="s">
        <v>753</v>
      </c>
      <c r="B239" s="785" t="s">
        <v>556</v>
      </c>
      <c r="C239" s="809">
        <v>6793626</v>
      </c>
    </row>
    <row r="240" spans="1:3" ht="14.4" hidden="1" x14ac:dyDescent="0.3">
      <c r="A240" s="815" t="s">
        <v>754</v>
      </c>
      <c r="B240" s="785" t="s">
        <v>755</v>
      </c>
      <c r="C240" s="809">
        <v>14807164</v>
      </c>
    </row>
    <row r="241" spans="1:3" ht="14.4" hidden="1" x14ac:dyDescent="0.3">
      <c r="A241" s="815" t="s">
        <v>756</v>
      </c>
      <c r="B241" s="785" t="s">
        <v>578</v>
      </c>
      <c r="C241" s="809">
        <v>24363346</v>
      </c>
    </row>
    <row r="242" spans="1:3" ht="14.4" hidden="1" x14ac:dyDescent="0.3">
      <c r="A242" s="815" t="s">
        <v>757</v>
      </c>
      <c r="B242" s="785" t="s">
        <v>601</v>
      </c>
      <c r="C242" s="809">
        <v>13973175</v>
      </c>
    </row>
    <row r="243" spans="1:3" ht="14.4" hidden="1" x14ac:dyDescent="0.3">
      <c r="A243" s="815" t="s">
        <v>758</v>
      </c>
      <c r="B243" s="785" t="s">
        <v>583</v>
      </c>
      <c r="C243" s="809">
        <v>5133754</v>
      </c>
    </row>
    <row r="244" spans="1:3" ht="14.4" hidden="1" x14ac:dyDescent="0.3">
      <c r="A244" s="816" t="s">
        <v>759</v>
      </c>
      <c r="B244" s="785" t="s">
        <v>564</v>
      </c>
      <c r="C244" s="810">
        <v>1189</v>
      </c>
    </row>
    <row r="245" spans="1:3" ht="14.4" hidden="1" x14ac:dyDescent="0.3">
      <c r="A245" s="816" t="s">
        <v>759</v>
      </c>
      <c r="B245" s="785" t="s">
        <v>562</v>
      </c>
      <c r="C245" s="810">
        <v>13385561</v>
      </c>
    </row>
    <row r="246" spans="1:3" ht="14.4" hidden="1" x14ac:dyDescent="0.3">
      <c r="A246" s="815" t="s">
        <v>760</v>
      </c>
      <c r="B246" s="785"/>
      <c r="C246" s="809">
        <v>13386750</v>
      </c>
    </row>
    <row r="247" spans="1:3" ht="14.4" hidden="1" x14ac:dyDescent="0.3">
      <c r="A247" s="815" t="s">
        <v>761</v>
      </c>
      <c r="B247" s="785" t="s">
        <v>597</v>
      </c>
      <c r="C247" s="809">
        <v>3518635</v>
      </c>
    </row>
    <row r="248" spans="1:3" ht="14.4" hidden="1" x14ac:dyDescent="0.3">
      <c r="A248" s="815" t="s">
        <v>762</v>
      </c>
      <c r="B248" s="785" t="s">
        <v>578</v>
      </c>
      <c r="C248" s="809">
        <v>15779912</v>
      </c>
    </row>
    <row r="249" spans="1:3" ht="14.4" hidden="1" x14ac:dyDescent="0.3">
      <c r="A249" s="815" t="s">
        <v>763</v>
      </c>
      <c r="B249" s="785" t="s">
        <v>536</v>
      </c>
      <c r="C249" s="809">
        <v>1985527</v>
      </c>
    </row>
    <row r="250" spans="1:3" ht="14.4" hidden="1" x14ac:dyDescent="0.3">
      <c r="A250" s="815" t="s">
        <v>764</v>
      </c>
      <c r="B250" s="785" t="s">
        <v>539</v>
      </c>
      <c r="C250" s="809">
        <v>4301285</v>
      </c>
    </row>
    <row r="251" spans="1:3" ht="14.4" hidden="1" x14ac:dyDescent="0.3">
      <c r="A251" s="816" t="s">
        <v>765</v>
      </c>
      <c r="B251" s="785" t="s">
        <v>539</v>
      </c>
      <c r="C251" s="810">
        <v>6316763</v>
      </c>
    </row>
    <row r="252" spans="1:3" ht="14.4" hidden="1" x14ac:dyDescent="0.3">
      <c r="A252" s="816" t="s">
        <v>765</v>
      </c>
      <c r="B252" s="785" t="s">
        <v>572</v>
      </c>
      <c r="C252" s="810">
        <v>341867</v>
      </c>
    </row>
    <row r="253" spans="1:3" ht="14.4" hidden="1" x14ac:dyDescent="0.3">
      <c r="A253" s="815" t="s">
        <v>766</v>
      </c>
      <c r="B253" s="785"/>
      <c r="C253" s="809">
        <v>6658630</v>
      </c>
    </row>
    <row r="254" spans="1:3" ht="14.4" hidden="1" x14ac:dyDescent="0.3">
      <c r="A254" s="815" t="s">
        <v>767</v>
      </c>
      <c r="B254" s="785" t="s">
        <v>589</v>
      </c>
      <c r="C254" s="809">
        <v>5836736</v>
      </c>
    </row>
    <row r="255" spans="1:3" ht="14.4" hidden="1" x14ac:dyDescent="0.3">
      <c r="A255" s="815" t="s">
        <v>768</v>
      </c>
      <c r="B255" s="785" t="s">
        <v>564</v>
      </c>
      <c r="C255" s="809">
        <v>5898663</v>
      </c>
    </row>
    <row r="256" spans="1:3" ht="14.4" hidden="1" x14ac:dyDescent="0.3">
      <c r="A256" s="815" t="s">
        <v>769</v>
      </c>
      <c r="B256" s="785" t="s">
        <v>564</v>
      </c>
      <c r="C256" s="809">
        <v>7361030</v>
      </c>
    </row>
    <row r="257" spans="1:3" ht="14.4" hidden="1" x14ac:dyDescent="0.3">
      <c r="A257" s="815" t="s">
        <v>770</v>
      </c>
      <c r="B257" s="785" t="s">
        <v>564</v>
      </c>
      <c r="C257" s="809">
        <v>9007617</v>
      </c>
    </row>
    <row r="258" spans="1:3" ht="14.4" hidden="1" x14ac:dyDescent="0.3">
      <c r="A258" s="815" t="s">
        <v>771</v>
      </c>
      <c r="B258" s="785" t="s">
        <v>525</v>
      </c>
      <c r="C258" s="809">
        <v>4918936</v>
      </c>
    </row>
    <row r="259" spans="1:3" ht="14.4" hidden="1" x14ac:dyDescent="0.3">
      <c r="A259" s="815" t="s">
        <v>772</v>
      </c>
      <c r="B259" s="785" t="s">
        <v>583</v>
      </c>
      <c r="C259" s="809">
        <v>6498378</v>
      </c>
    </row>
    <row r="260" spans="1:3" ht="14.4" hidden="1" x14ac:dyDescent="0.3">
      <c r="A260" s="815" t="s">
        <v>773</v>
      </c>
      <c r="B260" s="785" t="s">
        <v>638</v>
      </c>
      <c r="C260" s="809">
        <v>5884374</v>
      </c>
    </row>
    <row r="261" spans="1:3" ht="14.4" hidden="1" x14ac:dyDescent="0.3">
      <c r="A261" s="816" t="s">
        <v>774</v>
      </c>
      <c r="B261" s="785" t="s">
        <v>540</v>
      </c>
      <c r="C261" s="810">
        <v>5174289</v>
      </c>
    </row>
    <row r="262" spans="1:3" ht="14.4" hidden="1" x14ac:dyDescent="0.3">
      <c r="A262" s="816" t="s">
        <v>774</v>
      </c>
      <c r="B262" s="785" t="s">
        <v>552</v>
      </c>
      <c r="C262" s="810">
        <v>592155</v>
      </c>
    </row>
    <row r="263" spans="1:3" ht="14.4" hidden="1" x14ac:dyDescent="0.3">
      <c r="A263" s="815" t="s">
        <v>775</v>
      </c>
      <c r="B263" s="785"/>
      <c r="C263" s="809">
        <v>5766444</v>
      </c>
    </row>
    <row r="264" spans="1:3" ht="14.4" hidden="1" x14ac:dyDescent="0.3">
      <c r="A264" s="815" t="s">
        <v>776</v>
      </c>
      <c r="B264" s="785" t="s">
        <v>590</v>
      </c>
      <c r="C264" s="809">
        <v>12710739</v>
      </c>
    </row>
    <row r="265" spans="1:3" ht="14.4" hidden="1" x14ac:dyDescent="0.3">
      <c r="A265" s="816" t="s">
        <v>777</v>
      </c>
      <c r="B265" s="785" t="s">
        <v>648</v>
      </c>
      <c r="C265" s="810">
        <v>28551</v>
      </c>
    </row>
    <row r="266" spans="1:3" ht="14.4" hidden="1" x14ac:dyDescent="0.3">
      <c r="A266" s="816" t="s">
        <v>777</v>
      </c>
      <c r="B266" s="785" t="s">
        <v>531</v>
      </c>
      <c r="C266" s="810">
        <v>13228690</v>
      </c>
    </row>
    <row r="267" spans="1:3" ht="14.4" hidden="1" x14ac:dyDescent="0.3">
      <c r="A267" s="815" t="s">
        <v>778</v>
      </c>
      <c r="B267" s="785"/>
      <c r="C267" s="809">
        <v>13257241</v>
      </c>
    </row>
    <row r="268" spans="1:3" ht="14.4" hidden="1" x14ac:dyDescent="0.3">
      <c r="A268" s="815" t="s">
        <v>779</v>
      </c>
      <c r="B268" s="785" t="s">
        <v>559</v>
      </c>
      <c r="C268" s="809">
        <v>3778542</v>
      </c>
    </row>
    <row r="269" spans="1:3" ht="14.4" hidden="1" x14ac:dyDescent="0.3">
      <c r="A269" s="815" t="s">
        <v>780</v>
      </c>
      <c r="B269" s="785" t="s">
        <v>564</v>
      </c>
      <c r="C269" s="809">
        <v>15201627</v>
      </c>
    </row>
    <row r="270" spans="1:3" ht="14.4" hidden="1" x14ac:dyDescent="0.3">
      <c r="A270" s="815" t="s">
        <v>781</v>
      </c>
      <c r="B270" s="785" t="s">
        <v>578</v>
      </c>
      <c r="C270" s="809">
        <v>9103679</v>
      </c>
    </row>
    <row r="271" spans="1:3" ht="14.4" hidden="1" x14ac:dyDescent="0.3">
      <c r="A271" s="815" t="s">
        <v>782</v>
      </c>
      <c r="B271" s="785" t="s">
        <v>556</v>
      </c>
      <c r="C271" s="809">
        <v>5663044</v>
      </c>
    </row>
    <row r="272" spans="1:3" ht="14.4" hidden="1" x14ac:dyDescent="0.3">
      <c r="A272" s="815" t="s">
        <v>783</v>
      </c>
      <c r="B272" s="785" t="s">
        <v>564</v>
      </c>
      <c r="C272" s="809">
        <v>6999191</v>
      </c>
    </row>
    <row r="273" spans="1:3" ht="14.4" hidden="1" x14ac:dyDescent="0.3">
      <c r="A273" s="815" t="s">
        <v>784</v>
      </c>
      <c r="B273" s="785" t="s">
        <v>527</v>
      </c>
      <c r="C273" s="809">
        <v>5171188</v>
      </c>
    </row>
    <row r="274" spans="1:3" ht="14.4" hidden="1" x14ac:dyDescent="0.3">
      <c r="A274" s="815" t="s">
        <v>785</v>
      </c>
      <c r="B274" s="785" t="s">
        <v>564</v>
      </c>
      <c r="C274" s="809">
        <v>3477678</v>
      </c>
    </row>
    <row r="275" spans="1:3" ht="14.4" hidden="1" x14ac:dyDescent="0.3">
      <c r="A275" s="816" t="s">
        <v>786</v>
      </c>
      <c r="B275" s="785" t="s">
        <v>552</v>
      </c>
      <c r="C275" s="810">
        <v>444121</v>
      </c>
    </row>
    <row r="276" spans="1:3" ht="14.4" hidden="1" x14ac:dyDescent="0.3">
      <c r="A276" s="816" t="s">
        <v>786</v>
      </c>
      <c r="B276" s="785" t="s">
        <v>544</v>
      </c>
      <c r="C276" s="810">
        <v>7362296</v>
      </c>
    </row>
    <row r="277" spans="1:3" ht="14.4" hidden="1" x14ac:dyDescent="0.3">
      <c r="A277" s="815" t="s">
        <v>787</v>
      </c>
      <c r="B277" s="785"/>
      <c r="C277" s="809">
        <v>7806417</v>
      </c>
    </row>
    <row r="278" spans="1:3" ht="14.4" hidden="1" x14ac:dyDescent="0.3">
      <c r="A278" s="815" t="s">
        <v>788</v>
      </c>
      <c r="B278" s="785" t="s">
        <v>577</v>
      </c>
      <c r="C278" s="809">
        <v>20916256</v>
      </c>
    </row>
    <row r="279" spans="1:3" ht="14.4" hidden="1" x14ac:dyDescent="0.3">
      <c r="A279" s="815" t="s">
        <v>789</v>
      </c>
      <c r="B279" s="785" t="s">
        <v>586</v>
      </c>
      <c r="C279" s="809">
        <v>22000936</v>
      </c>
    </row>
    <row r="280" spans="1:3" ht="14.4" hidden="1" x14ac:dyDescent="0.3">
      <c r="A280" s="815" t="s">
        <v>790</v>
      </c>
      <c r="B280" s="785" t="s">
        <v>742</v>
      </c>
      <c r="C280" s="809">
        <v>9737026</v>
      </c>
    </row>
    <row r="281" spans="1:3" ht="14.4" hidden="1" x14ac:dyDescent="0.3">
      <c r="A281" s="815" t="s">
        <v>791</v>
      </c>
      <c r="B281" s="785" t="s">
        <v>564</v>
      </c>
      <c r="C281" s="809">
        <v>11811833</v>
      </c>
    </row>
    <row r="282" spans="1:3" ht="14.4" hidden="1" x14ac:dyDescent="0.3">
      <c r="A282" s="815" t="s">
        <v>792</v>
      </c>
      <c r="B282" s="785" t="s">
        <v>558</v>
      </c>
      <c r="C282" s="809">
        <v>6769467</v>
      </c>
    </row>
    <row r="283" spans="1:3" ht="14.4" hidden="1" x14ac:dyDescent="0.3">
      <c r="A283" s="815" t="s">
        <v>793</v>
      </c>
      <c r="B283" s="785" t="s">
        <v>535</v>
      </c>
      <c r="C283" s="809">
        <v>3503223</v>
      </c>
    </row>
    <row r="284" spans="1:3" ht="14.4" hidden="1" x14ac:dyDescent="0.3">
      <c r="A284" s="815" t="s">
        <v>794</v>
      </c>
      <c r="B284" s="785" t="s">
        <v>535</v>
      </c>
      <c r="C284" s="809">
        <v>6884746</v>
      </c>
    </row>
    <row r="285" spans="1:3" ht="14.4" hidden="1" x14ac:dyDescent="0.3">
      <c r="A285" s="815" t="s">
        <v>795</v>
      </c>
      <c r="B285" s="785" t="s">
        <v>556</v>
      </c>
      <c r="C285" s="809">
        <v>3848117</v>
      </c>
    </row>
    <row r="286" spans="1:3" ht="14.4" hidden="1" x14ac:dyDescent="0.3">
      <c r="A286" s="816" t="s">
        <v>796</v>
      </c>
      <c r="B286" s="785" t="s">
        <v>648</v>
      </c>
      <c r="C286" s="810">
        <v>34811</v>
      </c>
    </row>
    <row r="287" spans="1:3" ht="14.4" hidden="1" x14ac:dyDescent="0.3">
      <c r="A287" s="816" t="s">
        <v>796</v>
      </c>
      <c r="B287" s="785" t="s">
        <v>531</v>
      </c>
      <c r="C287" s="810">
        <v>13196518</v>
      </c>
    </row>
    <row r="288" spans="1:3" ht="14.4" hidden="1" x14ac:dyDescent="0.3">
      <c r="A288" s="815" t="s">
        <v>797</v>
      </c>
      <c r="B288" s="785"/>
      <c r="C288" s="809">
        <v>13231329</v>
      </c>
    </row>
    <row r="289" spans="1:5" ht="14.4" hidden="1" x14ac:dyDescent="0.3">
      <c r="A289" s="815" t="s">
        <v>798</v>
      </c>
      <c r="B289" s="785" t="s">
        <v>583</v>
      </c>
      <c r="C289" s="809">
        <v>4763695</v>
      </c>
    </row>
    <row r="290" spans="1:5" ht="14.4" hidden="1" x14ac:dyDescent="0.3">
      <c r="A290" s="815" t="s">
        <v>799</v>
      </c>
      <c r="B290" s="785" t="s">
        <v>544</v>
      </c>
      <c r="C290" s="809">
        <v>4742470</v>
      </c>
    </row>
    <row r="291" spans="1:5" ht="14.4" hidden="1" x14ac:dyDescent="0.3">
      <c r="A291" s="819" t="s">
        <v>616</v>
      </c>
      <c r="B291" s="820"/>
      <c r="C291" s="821">
        <f>SUM(C97:C100,C103:C110,C113:C122,C125:C130,C133,C136:C139,C142:C145,C148:C154,C157:C159,C162:C163,C166:C180,C184:C193,C196:C204,C207:C215,C218,C221:C224,C225:C227,C230:C233,C236:C239,C240:C243,C246:C250,C253:C260,C263:C264,C267:C274,C277:C285,C288:C290)</f>
        <v>1352064684</v>
      </c>
      <c r="D291" s="817"/>
      <c r="E291" s="822"/>
    </row>
    <row r="292" spans="1:5" ht="15.6" x14ac:dyDescent="0.3">
      <c r="A292" s="823"/>
      <c r="B292" s="823"/>
      <c r="C292" s="807"/>
    </row>
    <row r="293" spans="1:5" ht="20.25" customHeight="1" x14ac:dyDescent="0.3">
      <c r="A293" s="1219" t="s">
        <v>800</v>
      </c>
      <c r="B293" s="1220"/>
      <c r="C293" s="1221"/>
    </row>
    <row r="294" spans="1:5" ht="57.75" customHeight="1" x14ac:dyDescent="0.3">
      <c r="A294" s="1222" t="s">
        <v>801</v>
      </c>
      <c r="B294" s="1223"/>
      <c r="C294" s="1224"/>
    </row>
    <row r="295" spans="1:5" ht="14.4" hidden="1" x14ac:dyDescent="0.3">
      <c r="A295" s="785" t="s">
        <v>802</v>
      </c>
      <c r="B295" s="785" t="s">
        <v>641</v>
      </c>
      <c r="C295" s="810">
        <v>1327710</v>
      </c>
    </row>
    <row r="296" spans="1:5" ht="14.4" hidden="1" x14ac:dyDescent="0.3">
      <c r="A296" s="785" t="s">
        <v>803</v>
      </c>
      <c r="B296" s="785" t="s">
        <v>641</v>
      </c>
      <c r="C296" s="810">
        <v>2001691</v>
      </c>
    </row>
    <row r="297" spans="1:5" ht="14.4" hidden="1" x14ac:dyDescent="0.3">
      <c r="A297" s="785" t="s">
        <v>804</v>
      </c>
      <c r="B297" s="785" t="s">
        <v>641</v>
      </c>
      <c r="C297" s="810">
        <v>1114270</v>
      </c>
    </row>
    <row r="298" spans="1:5" ht="14.4" hidden="1" x14ac:dyDescent="0.3">
      <c r="A298" s="785" t="s">
        <v>805</v>
      </c>
      <c r="B298" s="785" t="s">
        <v>641</v>
      </c>
      <c r="C298" s="810">
        <v>1328558</v>
      </c>
    </row>
    <row r="299" spans="1:5" ht="14.4" hidden="1" x14ac:dyDescent="0.3">
      <c r="A299" s="785" t="s">
        <v>806</v>
      </c>
      <c r="B299" s="785" t="s">
        <v>641</v>
      </c>
      <c r="C299" s="810">
        <v>1322270</v>
      </c>
    </row>
    <row r="300" spans="1:5" ht="14.4" hidden="1" x14ac:dyDescent="0.3">
      <c r="A300" s="785" t="s">
        <v>807</v>
      </c>
      <c r="B300" s="785" t="s">
        <v>641</v>
      </c>
      <c r="C300" s="810">
        <v>1483057</v>
      </c>
    </row>
    <row r="301" spans="1:5" ht="14.4" hidden="1" x14ac:dyDescent="0.3">
      <c r="A301" s="785" t="s">
        <v>808</v>
      </c>
      <c r="B301" s="785" t="s">
        <v>641</v>
      </c>
      <c r="C301" s="810">
        <v>975434</v>
      </c>
    </row>
    <row r="302" spans="1:5" ht="14.4" hidden="1" x14ac:dyDescent="0.3">
      <c r="A302" s="785" t="s">
        <v>809</v>
      </c>
      <c r="B302" s="785" t="s">
        <v>641</v>
      </c>
      <c r="C302" s="810">
        <v>3175416</v>
      </c>
    </row>
    <row r="303" spans="1:5" ht="14.4" hidden="1" x14ac:dyDescent="0.3">
      <c r="A303" s="808" t="s">
        <v>641</v>
      </c>
      <c r="B303" s="808"/>
      <c r="C303" s="809">
        <v>12728406</v>
      </c>
    </row>
    <row r="304" spans="1:5" ht="14.4" hidden="1" x14ac:dyDescent="0.3">
      <c r="A304" s="785" t="s">
        <v>810</v>
      </c>
      <c r="B304" s="785" t="s">
        <v>627</v>
      </c>
      <c r="C304" s="810">
        <v>2121898</v>
      </c>
    </row>
    <row r="305" spans="1:3" ht="14.4" hidden="1" x14ac:dyDescent="0.3">
      <c r="A305" s="785" t="s">
        <v>811</v>
      </c>
      <c r="B305" s="785" t="s">
        <v>627</v>
      </c>
      <c r="C305" s="810">
        <v>1845938</v>
      </c>
    </row>
    <row r="306" spans="1:3" ht="14.4" hidden="1" x14ac:dyDescent="0.3">
      <c r="A306" s="808" t="s">
        <v>627</v>
      </c>
      <c r="B306" s="808"/>
      <c r="C306" s="809">
        <v>3967836</v>
      </c>
    </row>
    <row r="307" spans="1:3" ht="14.4" hidden="1" x14ac:dyDescent="0.3">
      <c r="A307" s="785" t="s">
        <v>812</v>
      </c>
      <c r="B307" s="785" t="s">
        <v>586</v>
      </c>
      <c r="C307" s="810">
        <v>1056803</v>
      </c>
    </row>
    <row r="308" spans="1:3" ht="14.4" hidden="1" x14ac:dyDescent="0.3">
      <c r="A308" s="785" t="s">
        <v>813</v>
      </c>
      <c r="B308" s="785" t="s">
        <v>586</v>
      </c>
      <c r="C308" s="810">
        <v>1167043</v>
      </c>
    </row>
    <row r="309" spans="1:3" ht="14.4" hidden="1" x14ac:dyDescent="0.3">
      <c r="A309" s="785" t="s">
        <v>814</v>
      </c>
      <c r="B309" s="785" t="s">
        <v>586</v>
      </c>
      <c r="C309" s="810">
        <v>4952233</v>
      </c>
    </row>
    <row r="310" spans="1:3" ht="14.4" hidden="1" x14ac:dyDescent="0.3">
      <c r="A310" s="785" t="s">
        <v>815</v>
      </c>
      <c r="B310" s="785" t="s">
        <v>586</v>
      </c>
      <c r="C310" s="810">
        <v>1158745</v>
      </c>
    </row>
    <row r="311" spans="1:3" ht="14.4" hidden="1" x14ac:dyDescent="0.3">
      <c r="A311" s="785" t="s">
        <v>816</v>
      </c>
      <c r="B311" s="785" t="s">
        <v>586</v>
      </c>
      <c r="C311" s="810">
        <v>1783133</v>
      </c>
    </row>
    <row r="312" spans="1:3" ht="14.4" hidden="1" x14ac:dyDescent="0.3">
      <c r="A312" s="785" t="s">
        <v>817</v>
      </c>
      <c r="B312" s="785" t="s">
        <v>586</v>
      </c>
      <c r="C312" s="810">
        <v>1882731</v>
      </c>
    </row>
    <row r="313" spans="1:3" ht="14.4" hidden="1" x14ac:dyDescent="0.3">
      <c r="A313" s="785" t="s">
        <v>818</v>
      </c>
      <c r="B313" s="785" t="s">
        <v>586</v>
      </c>
      <c r="C313" s="810">
        <v>1115220</v>
      </c>
    </row>
    <row r="314" spans="1:3" ht="14.4" hidden="1" x14ac:dyDescent="0.3">
      <c r="A314" s="785" t="s">
        <v>819</v>
      </c>
      <c r="B314" s="785" t="s">
        <v>586</v>
      </c>
      <c r="C314" s="810">
        <v>6190172</v>
      </c>
    </row>
    <row r="315" spans="1:3" ht="14.4" hidden="1" x14ac:dyDescent="0.3">
      <c r="A315" s="808" t="s">
        <v>586</v>
      </c>
      <c r="B315" s="808"/>
      <c r="C315" s="809">
        <v>19306080</v>
      </c>
    </row>
    <row r="316" spans="1:3" ht="14.4" hidden="1" x14ac:dyDescent="0.3">
      <c r="A316" s="785" t="s">
        <v>820</v>
      </c>
      <c r="B316" s="785" t="s">
        <v>566</v>
      </c>
      <c r="C316" s="810">
        <v>1429517</v>
      </c>
    </row>
    <row r="317" spans="1:3" ht="14.4" hidden="1" x14ac:dyDescent="0.3">
      <c r="A317" s="785" t="s">
        <v>821</v>
      </c>
      <c r="B317" s="785" t="s">
        <v>566</v>
      </c>
      <c r="C317" s="810">
        <v>2501508</v>
      </c>
    </row>
    <row r="318" spans="1:3" ht="14.4" hidden="1" x14ac:dyDescent="0.3">
      <c r="A318" s="785" t="s">
        <v>822</v>
      </c>
      <c r="B318" s="785" t="s">
        <v>566</v>
      </c>
      <c r="C318" s="810">
        <v>1053386</v>
      </c>
    </row>
    <row r="319" spans="1:3" ht="14.4" hidden="1" x14ac:dyDescent="0.3">
      <c r="A319" s="785" t="s">
        <v>823</v>
      </c>
      <c r="B319" s="785" t="s">
        <v>566</v>
      </c>
      <c r="C319" s="810">
        <v>1456159</v>
      </c>
    </row>
    <row r="320" spans="1:3" ht="14.4" hidden="1" x14ac:dyDescent="0.3">
      <c r="A320" s="785" t="s">
        <v>824</v>
      </c>
      <c r="B320" s="785" t="s">
        <v>566</v>
      </c>
      <c r="C320" s="810">
        <v>456725</v>
      </c>
    </row>
    <row r="321" spans="1:3" ht="14.4" hidden="1" x14ac:dyDescent="0.3">
      <c r="A321" s="808" t="s">
        <v>566</v>
      </c>
      <c r="B321" s="808"/>
      <c r="C321" s="809">
        <v>6897295</v>
      </c>
    </row>
    <row r="322" spans="1:3" ht="14.4" hidden="1" x14ac:dyDescent="0.3">
      <c r="A322" s="785" t="s">
        <v>825</v>
      </c>
      <c r="B322" s="785" t="s">
        <v>564</v>
      </c>
      <c r="C322" s="810">
        <v>3251052</v>
      </c>
    </row>
    <row r="323" spans="1:3" ht="14.4" hidden="1" x14ac:dyDescent="0.3">
      <c r="A323" s="785" t="s">
        <v>826</v>
      </c>
      <c r="B323" s="785" t="s">
        <v>564</v>
      </c>
      <c r="C323" s="810">
        <v>2983826</v>
      </c>
    </row>
    <row r="324" spans="1:3" ht="14.4" hidden="1" x14ac:dyDescent="0.3">
      <c r="A324" s="785" t="s">
        <v>827</v>
      </c>
      <c r="B324" s="785" t="s">
        <v>564</v>
      </c>
      <c r="C324" s="810">
        <v>3480590</v>
      </c>
    </row>
    <row r="325" spans="1:3" ht="14.4" hidden="1" x14ac:dyDescent="0.3">
      <c r="A325" s="785" t="s">
        <v>828</v>
      </c>
      <c r="B325" s="785" t="s">
        <v>564</v>
      </c>
      <c r="C325" s="810">
        <v>6107257</v>
      </c>
    </row>
    <row r="326" spans="1:3" ht="14.4" hidden="1" x14ac:dyDescent="0.3">
      <c r="A326" s="785" t="s">
        <v>829</v>
      </c>
      <c r="B326" s="785" t="s">
        <v>564</v>
      </c>
      <c r="C326" s="810">
        <v>5205617</v>
      </c>
    </row>
    <row r="327" spans="1:3" ht="14.4" hidden="1" x14ac:dyDescent="0.3">
      <c r="A327" s="785" t="s">
        <v>830</v>
      </c>
      <c r="B327" s="785" t="s">
        <v>564</v>
      </c>
      <c r="C327" s="810">
        <v>2452486</v>
      </c>
    </row>
    <row r="328" spans="1:3" ht="14.4" hidden="1" x14ac:dyDescent="0.3">
      <c r="A328" s="785" t="s">
        <v>831</v>
      </c>
      <c r="B328" s="785" t="s">
        <v>564</v>
      </c>
      <c r="C328" s="810">
        <v>4614942</v>
      </c>
    </row>
    <row r="329" spans="1:3" ht="14.4" hidden="1" x14ac:dyDescent="0.3">
      <c r="A329" s="785" t="s">
        <v>832</v>
      </c>
      <c r="B329" s="785" t="s">
        <v>564</v>
      </c>
      <c r="C329" s="810">
        <v>2614995</v>
      </c>
    </row>
    <row r="330" spans="1:3" ht="14.4" hidden="1" x14ac:dyDescent="0.3">
      <c r="A330" s="785" t="s">
        <v>833</v>
      </c>
      <c r="B330" s="785" t="s">
        <v>564</v>
      </c>
      <c r="C330" s="810">
        <v>4384366</v>
      </c>
    </row>
    <row r="331" spans="1:3" ht="14.4" hidden="1" x14ac:dyDescent="0.3">
      <c r="A331" s="785" t="s">
        <v>834</v>
      </c>
      <c r="B331" s="785" t="s">
        <v>564</v>
      </c>
      <c r="C331" s="810">
        <v>7176810</v>
      </c>
    </row>
    <row r="332" spans="1:3" ht="14.4" hidden="1" x14ac:dyDescent="0.3">
      <c r="A332" s="785" t="s">
        <v>835</v>
      </c>
      <c r="B332" s="785" t="s">
        <v>564</v>
      </c>
      <c r="C332" s="810">
        <v>3290181</v>
      </c>
    </row>
    <row r="333" spans="1:3" ht="14.4" hidden="1" x14ac:dyDescent="0.3">
      <c r="A333" s="785" t="s">
        <v>836</v>
      </c>
      <c r="B333" s="785" t="s">
        <v>564</v>
      </c>
      <c r="C333" s="810">
        <v>2964355</v>
      </c>
    </row>
    <row r="334" spans="1:3" ht="14.4" hidden="1" x14ac:dyDescent="0.3">
      <c r="A334" s="785" t="s">
        <v>837</v>
      </c>
      <c r="B334" s="785" t="s">
        <v>564</v>
      </c>
      <c r="C334" s="810">
        <v>2444567</v>
      </c>
    </row>
    <row r="335" spans="1:3" ht="14.4" hidden="1" x14ac:dyDescent="0.3">
      <c r="A335" s="785" t="s">
        <v>838</v>
      </c>
      <c r="B335" s="785" t="s">
        <v>564</v>
      </c>
      <c r="C335" s="810">
        <v>4607074</v>
      </c>
    </row>
    <row r="336" spans="1:3" ht="14.4" hidden="1" x14ac:dyDescent="0.3">
      <c r="A336" s="785" t="s">
        <v>839</v>
      </c>
      <c r="B336" s="785" t="s">
        <v>564</v>
      </c>
      <c r="C336" s="810">
        <v>4665248</v>
      </c>
    </row>
    <row r="337" spans="1:3" ht="14.4" hidden="1" x14ac:dyDescent="0.3">
      <c r="A337" s="785" t="s">
        <v>840</v>
      </c>
      <c r="B337" s="785" t="s">
        <v>564</v>
      </c>
      <c r="C337" s="810">
        <v>3503852</v>
      </c>
    </row>
    <row r="338" spans="1:3" ht="14.4" hidden="1" x14ac:dyDescent="0.3">
      <c r="A338" s="785" t="s">
        <v>841</v>
      </c>
      <c r="B338" s="785" t="s">
        <v>564</v>
      </c>
      <c r="C338" s="810">
        <v>1605096</v>
      </c>
    </row>
    <row r="339" spans="1:3" ht="14.4" hidden="1" x14ac:dyDescent="0.3">
      <c r="A339" s="785" t="s">
        <v>842</v>
      </c>
      <c r="B339" s="785" t="s">
        <v>564</v>
      </c>
      <c r="C339" s="810">
        <v>3195471</v>
      </c>
    </row>
    <row r="340" spans="1:3" ht="14.4" hidden="1" x14ac:dyDescent="0.3">
      <c r="A340" s="785" t="s">
        <v>843</v>
      </c>
      <c r="B340" s="785" t="s">
        <v>564</v>
      </c>
      <c r="C340" s="810">
        <v>2394828</v>
      </c>
    </row>
    <row r="341" spans="1:3" ht="14.4" hidden="1" x14ac:dyDescent="0.3">
      <c r="A341" s="785" t="s">
        <v>844</v>
      </c>
      <c r="B341" s="785" t="s">
        <v>564</v>
      </c>
      <c r="C341" s="810">
        <v>6704533</v>
      </c>
    </row>
    <row r="342" spans="1:3" ht="14.4" hidden="1" x14ac:dyDescent="0.3">
      <c r="A342" s="785" t="s">
        <v>845</v>
      </c>
      <c r="B342" s="785" t="s">
        <v>564</v>
      </c>
      <c r="C342" s="810">
        <v>4732878</v>
      </c>
    </row>
    <row r="343" spans="1:3" ht="14.4" hidden="1" x14ac:dyDescent="0.3">
      <c r="A343" s="785" t="s">
        <v>846</v>
      </c>
      <c r="B343" s="785" t="s">
        <v>564</v>
      </c>
      <c r="C343" s="810">
        <v>6998346</v>
      </c>
    </row>
    <row r="344" spans="1:3" ht="14.4" hidden="1" x14ac:dyDescent="0.3">
      <c r="A344" s="785" t="s">
        <v>847</v>
      </c>
      <c r="B344" s="785" t="s">
        <v>564</v>
      </c>
      <c r="C344" s="810">
        <v>6543554</v>
      </c>
    </row>
    <row r="345" spans="1:3" ht="14.4" hidden="1" x14ac:dyDescent="0.3">
      <c r="A345" s="785" t="s">
        <v>848</v>
      </c>
      <c r="B345" s="785" t="s">
        <v>564</v>
      </c>
      <c r="C345" s="810">
        <v>4536524</v>
      </c>
    </row>
    <row r="346" spans="1:3" ht="14.4" hidden="1" x14ac:dyDescent="0.3">
      <c r="A346" s="785" t="s">
        <v>849</v>
      </c>
      <c r="B346" s="785" t="s">
        <v>564</v>
      </c>
      <c r="C346" s="810">
        <v>3648972</v>
      </c>
    </row>
    <row r="347" spans="1:3" ht="14.4" hidden="1" x14ac:dyDescent="0.3">
      <c r="A347" s="785" t="s">
        <v>850</v>
      </c>
      <c r="B347" s="785" t="s">
        <v>564</v>
      </c>
      <c r="C347" s="810">
        <v>5716051</v>
      </c>
    </row>
    <row r="348" spans="1:3" ht="14.4" hidden="1" x14ac:dyDescent="0.3">
      <c r="A348" s="785" t="s">
        <v>851</v>
      </c>
      <c r="B348" s="785" t="s">
        <v>564</v>
      </c>
      <c r="C348" s="810">
        <v>2100628</v>
      </c>
    </row>
    <row r="349" spans="1:3" ht="14.4" hidden="1" x14ac:dyDescent="0.3">
      <c r="A349" s="785" t="s">
        <v>852</v>
      </c>
      <c r="B349" s="785" t="s">
        <v>564</v>
      </c>
      <c r="C349" s="810">
        <v>3566304</v>
      </c>
    </row>
    <row r="350" spans="1:3" ht="14.4" hidden="1" x14ac:dyDescent="0.3">
      <c r="A350" s="785" t="s">
        <v>853</v>
      </c>
      <c r="B350" s="785" t="s">
        <v>564</v>
      </c>
      <c r="C350" s="810">
        <v>3679628</v>
      </c>
    </row>
    <row r="351" spans="1:3" ht="14.4" hidden="1" x14ac:dyDescent="0.3">
      <c r="A351" s="785" t="s">
        <v>854</v>
      </c>
      <c r="B351" s="785" t="s">
        <v>564</v>
      </c>
      <c r="C351" s="810">
        <v>5374450</v>
      </c>
    </row>
    <row r="352" spans="1:3" ht="14.4" hidden="1" x14ac:dyDescent="0.3">
      <c r="A352" s="785" t="s">
        <v>855</v>
      </c>
      <c r="B352" s="785" t="s">
        <v>564</v>
      </c>
      <c r="C352" s="810">
        <v>5905376</v>
      </c>
    </row>
    <row r="353" spans="1:3" ht="14.4" hidden="1" x14ac:dyDescent="0.3">
      <c r="A353" s="785" t="s">
        <v>856</v>
      </c>
      <c r="B353" s="785" t="s">
        <v>564</v>
      </c>
      <c r="C353" s="810">
        <v>5248093</v>
      </c>
    </row>
    <row r="354" spans="1:3" ht="14.4" hidden="1" x14ac:dyDescent="0.3">
      <c r="A354" s="785" t="s">
        <v>857</v>
      </c>
      <c r="B354" s="785" t="s">
        <v>564</v>
      </c>
      <c r="C354" s="810">
        <v>2988034</v>
      </c>
    </row>
    <row r="355" spans="1:3" ht="14.4" hidden="1" x14ac:dyDescent="0.3">
      <c r="A355" s="785" t="s">
        <v>858</v>
      </c>
      <c r="B355" s="785" t="s">
        <v>564</v>
      </c>
      <c r="C355" s="810">
        <v>3828402</v>
      </c>
    </row>
    <row r="356" spans="1:3" ht="14.4" hidden="1" x14ac:dyDescent="0.3">
      <c r="A356" s="785" t="s">
        <v>819</v>
      </c>
      <c r="B356" s="785" t="s">
        <v>564</v>
      </c>
      <c r="C356" s="810">
        <v>57609</v>
      </c>
    </row>
    <row r="357" spans="1:3" ht="14.4" hidden="1" x14ac:dyDescent="0.3">
      <c r="A357" s="808" t="s">
        <v>564</v>
      </c>
      <c r="B357" s="808"/>
      <c r="C357" s="809">
        <v>142571995</v>
      </c>
    </row>
    <row r="358" spans="1:3" ht="14.4" hidden="1" x14ac:dyDescent="0.3">
      <c r="A358" s="785" t="s">
        <v>859</v>
      </c>
      <c r="B358" s="785" t="s">
        <v>550</v>
      </c>
      <c r="C358" s="810">
        <v>6986621</v>
      </c>
    </row>
    <row r="359" spans="1:3" ht="14.4" hidden="1" x14ac:dyDescent="0.3">
      <c r="A359" s="785" t="s">
        <v>860</v>
      </c>
      <c r="B359" s="785" t="s">
        <v>550</v>
      </c>
      <c r="C359" s="810">
        <v>1829266</v>
      </c>
    </row>
    <row r="360" spans="1:3" ht="14.4" hidden="1" x14ac:dyDescent="0.3">
      <c r="A360" s="785" t="s">
        <v>861</v>
      </c>
      <c r="B360" s="785" t="s">
        <v>550</v>
      </c>
      <c r="C360" s="810">
        <v>2693877</v>
      </c>
    </row>
    <row r="361" spans="1:3" ht="14.4" hidden="1" x14ac:dyDescent="0.3">
      <c r="A361" s="785" t="s">
        <v>862</v>
      </c>
      <c r="B361" s="785" t="s">
        <v>550</v>
      </c>
      <c r="C361" s="810">
        <v>4876494</v>
      </c>
    </row>
    <row r="362" spans="1:3" ht="14.4" hidden="1" x14ac:dyDescent="0.3">
      <c r="A362" s="785" t="s">
        <v>863</v>
      </c>
      <c r="B362" s="785" t="s">
        <v>550</v>
      </c>
      <c r="C362" s="810">
        <v>2226390</v>
      </c>
    </row>
    <row r="363" spans="1:3" ht="14.4" hidden="1" x14ac:dyDescent="0.3">
      <c r="A363" s="785" t="s">
        <v>864</v>
      </c>
      <c r="B363" s="785" t="s">
        <v>550</v>
      </c>
      <c r="C363" s="810">
        <v>3988660</v>
      </c>
    </row>
    <row r="364" spans="1:3" ht="14.4" hidden="1" x14ac:dyDescent="0.3">
      <c r="A364" s="785" t="s">
        <v>865</v>
      </c>
      <c r="B364" s="785" t="s">
        <v>550</v>
      </c>
      <c r="C364" s="810">
        <v>3181584</v>
      </c>
    </row>
    <row r="365" spans="1:3" ht="14.4" hidden="1" x14ac:dyDescent="0.3">
      <c r="A365" s="808" t="s">
        <v>550</v>
      </c>
      <c r="B365" s="808"/>
      <c r="C365" s="809">
        <v>25782892</v>
      </c>
    </row>
    <row r="366" spans="1:3" ht="14.4" hidden="1" x14ac:dyDescent="0.3">
      <c r="A366" s="785" t="s">
        <v>866</v>
      </c>
      <c r="B366" s="785" t="s">
        <v>648</v>
      </c>
      <c r="C366" s="810">
        <v>14753372</v>
      </c>
    </row>
    <row r="367" spans="1:3" ht="14.4" hidden="1" x14ac:dyDescent="0.3">
      <c r="A367" s="785" t="s">
        <v>867</v>
      </c>
      <c r="B367" s="785" t="s">
        <v>648</v>
      </c>
      <c r="C367" s="810">
        <v>5122945</v>
      </c>
    </row>
    <row r="368" spans="1:3" ht="14.4" hidden="1" x14ac:dyDescent="0.3">
      <c r="A368" s="785" t="s">
        <v>868</v>
      </c>
      <c r="B368" s="785" t="s">
        <v>648</v>
      </c>
      <c r="C368" s="810">
        <v>16791843</v>
      </c>
    </row>
    <row r="369" spans="1:3" ht="14.4" hidden="1" x14ac:dyDescent="0.3">
      <c r="A369" s="808" t="s">
        <v>648</v>
      </c>
      <c r="B369" s="808"/>
      <c r="C369" s="809">
        <v>36668160</v>
      </c>
    </row>
    <row r="370" spans="1:3" ht="14.4" hidden="1" x14ac:dyDescent="0.3">
      <c r="A370" s="785" t="s">
        <v>869</v>
      </c>
      <c r="B370" s="785" t="s">
        <v>582</v>
      </c>
      <c r="C370" s="810">
        <v>5325878</v>
      </c>
    </row>
    <row r="371" spans="1:3" ht="14.4" hidden="1" x14ac:dyDescent="0.3">
      <c r="A371" s="785" t="s">
        <v>870</v>
      </c>
      <c r="B371" s="785" t="s">
        <v>582</v>
      </c>
      <c r="C371" s="810">
        <v>131552</v>
      </c>
    </row>
    <row r="372" spans="1:3" ht="14.4" hidden="1" x14ac:dyDescent="0.3">
      <c r="A372" s="808" t="s">
        <v>582</v>
      </c>
      <c r="B372" s="808"/>
      <c r="C372" s="809">
        <v>5457430</v>
      </c>
    </row>
    <row r="373" spans="1:3" ht="14.4" hidden="1" x14ac:dyDescent="0.3">
      <c r="A373" s="785" t="s">
        <v>871</v>
      </c>
      <c r="B373" s="785" t="s">
        <v>556</v>
      </c>
      <c r="C373" s="810">
        <v>2314495</v>
      </c>
    </row>
    <row r="374" spans="1:3" ht="14.4" hidden="1" x14ac:dyDescent="0.3">
      <c r="A374" s="785" t="s">
        <v>872</v>
      </c>
      <c r="B374" s="785" t="s">
        <v>556</v>
      </c>
      <c r="C374" s="810">
        <v>952611</v>
      </c>
    </row>
    <row r="375" spans="1:3" ht="14.4" hidden="1" x14ac:dyDescent="0.3">
      <c r="A375" s="785" t="s">
        <v>873</v>
      </c>
      <c r="B375" s="785" t="s">
        <v>556</v>
      </c>
      <c r="C375" s="810">
        <v>1808859</v>
      </c>
    </row>
    <row r="376" spans="1:3" ht="14.4" hidden="1" x14ac:dyDescent="0.3">
      <c r="A376" s="785" t="s">
        <v>874</v>
      </c>
      <c r="B376" s="785" t="s">
        <v>556</v>
      </c>
      <c r="C376" s="810">
        <v>3447811</v>
      </c>
    </row>
    <row r="377" spans="1:3" ht="14.4" hidden="1" x14ac:dyDescent="0.3">
      <c r="A377" s="785" t="s">
        <v>875</v>
      </c>
      <c r="B377" s="785" t="s">
        <v>556</v>
      </c>
      <c r="C377" s="810">
        <v>3938144</v>
      </c>
    </row>
    <row r="378" spans="1:3" ht="14.4" hidden="1" x14ac:dyDescent="0.3">
      <c r="A378" s="785" t="s">
        <v>876</v>
      </c>
      <c r="B378" s="785" t="s">
        <v>556</v>
      </c>
      <c r="C378" s="810">
        <v>3359209</v>
      </c>
    </row>
    <row r="379" spans="1:3" ht="14.4" hidden="1" x14ac:dyDescent="0.3">
      <c r="A379" s="785" t="s">
        <v>877</v>
      </c>
      <c r="B379" s="785" t="s">
        <v>556</v>
      </c>
      <c r="C379" s="810">
        <v>1325685</v>
      </c>
    </row>
    <row r="380" spans="1:3" ht="14.4" hidden="1" x14ac:dyDescent="0.3">
      <c r="A380" s="785" t="s">
        <v>878</v>
      </c>
      <c r="B380" s="785" t="s">
        <v>556</v>
      </c>
      <c r="C380" s="810">
        <v>4245651</v>
      </c>
    </row>
    <row r="381" spans="1:3" ht="14.4" hidden="1" x14ac:dyDescent="0.3">
      <c r="A381" s="785" t="s">
        <v>879</v>
      </c>
      <c r="B381" s="785" t="s">
        <v>556</v>
      </c>
      <c r="C381" s="810">
        <v>1370874</v>
      </c>
    </row>
    <row r="382" spans="1:3" ht="14.4" hidden="1" x14ac:dyDescent="0.3">
      <c r="A382" s="785" t="s">
        <v>880</v>
      </c>
      <c r="B382" s="785" t="s">
        <v>556</v>
      </c>
      <c r="C382" s="810">
        <v>4019825</v>
      </c>
    </row>
    <row r="383" spans="1:3" ht="14.4" hidden="1" x14ac:dyDescent="0.3">
      <c r="A383" s="785" t="s">
        <v>881</v>
      </c>
      <c r="B383" s="785" t="s">
        <v>556</v>
      </c>
      <c r="C383" s="810">
        <v>1981203</v>
      </c>
    </row>
    <row r="384" spans="1:3" ht="14.4" hidden="1" x14ac:dyDescent="0.3">
      <c r="A384" s="785" t="s">
        <v>882</v>
      </c>
      <c r="B384" s="785" t="s">
        <v>556</v>
      </c>
      <c r="C384" s="810">
        <v>3500918</v>
      </c>
    </row>
    <row r="385" spans="1:3" ht="14.4" hidden="1" x14ac:dyDescent="0.3">
      <c r="A385" s="785" t="s">
        <v>883</v>
      </c>
      <c r="B385" s="785" t="s">
        <v>556</v>
      </c>
      <c r="C385" s="810">
        <v>2366210</v>
      </c>
    </row>
    <row r="386" spans="1:3" ht="14.4" hidden="1" x14ac:dyDescent="0.3">
      <c r="A386" s="785" t="s">
        <v>884</v>
      </c>
      <c r="B386" s="785" t="s">
        <v>556</v>
      </c>
      <c r="C386" s="810">
        <v>4821042</v>
      </c>
    </row>
    <row r="387" spans="1:3" ht="14.4" hidden="1" x14ac:dyDescent="0.3">
      <c r="A387" s="785" t="s">
        <v>885</v>
      </c>
      <c r="B387" s="785" t="s">
        <v>556</v>
      </c>
      <c r="C387" s="810">
        <v>1235453</v>
      </c>
    </row>
    <row r="388" spans="1:3" ht="14.4" hidden="1" x14ac:dyDescent="0.3">
      <c r="A388" s="808" t="s">
        <v>556</v>
      </c>
      <c r="B388" s="808"/>
      <c r="C388" s="809">
        <v>40687990</v>
      </c>
    </row>
    <row r="389" spans="1:3" ht="14.4" hidden="1" x14ac:dyDescent="0.3">
      <c r="A389" s="785" t="s">
        <v>886</v>
      </c>
      <c r="B389" s="785" t="s">
        <v>525</v>
      </c>
      <c r="C389" s="810">
        <v>1612866</v>
      </c>
    </row>
    <row r="390" spans="1:3" ht="14.4" hidden="1" x14ac:dyDescent="0.3">
      <c r="A390" s="785" t="s">
        <v>887</v>
      </c>
      <c r="B390" s="785" t="s">
        <v>525</v>
      </c>
      <c r="C390" s="810">
        <v>4825071</v>
      </c>
    </row>
    <row r="391" spans="1:3" ht="14.4" hidden="1" x14ac:dyDescent="0.3">
      <c r="A391" s="785" t="s">
        <v>888</v>
      </c>
      <c r="B391" s="785" t="s">
        <v>525</v>
      </c>
      <c r="C391" s="810">
        <v>1208522</v>
      </c>
    </row>
    <row r="392" spans="1:3" ht="14.4" hidden="1" x14ac:dyDescent="0.3">
      <c r="A392" s="785" t="s">
        <v>889</v>
      </c>
      <c r="B392" s="785" t="s">
        <v>525</v>
      </c>
      <c r="C392" s="810">
        <v>894719</v>
      </c>
    </row>
    <row r="393" spans="1:3" ht="14.4" hidden="1" x14ac:dyDescent="0.3">
      <c r="A393" s="785" t="s">
        <v>890</v>
      </c>
      <c r="B393" s="785" t="s">
        <v>525</v>
      </c>
      <c r="C393" s="810">
        <v>1199073</v>
      </c>
    </row>
    <row r="394" spans="1:3" ht="14.4" hidden="1" x14ac:dyDescent="0.3">
      <c r="A394" s="785" t="s">
        <v>891</v>
      </c>
      <c r="B394" s="785" t="s">
        <v>525</v>
      </c>
      <c r="C394" s="810">
        <v>2777690</v>
      </c>
    </row>
    <row r="395" spans="1:3" ht="14.4" hidden="1" x14ac:dyDescent="0.3">
      <c r="A395" s="785" t="s">
        <v>892</v>
      </c>
      <c r="B395" s="785" t="s">
        <v>525</v>
      </c>
      <c r="C395" s="810">
        <v>990968</v>
      </c>
    </row>
    <row r="396" spans="1:3" ht="14.4" hidden="1" x14ac:dyDescent="0.3">
      <c r="A396" s="785" t="s">
        <v>893</v>
      </c>
      <c r="B396" s="785" t="s">
        <v>525</v>
      </c>
      <c r="C396" s="810">
        <v>3196041</v>
      </c>
    </row>
    <row r="397" spans="1:3" ht="14.4" hidden="1" x14ac:dyDescent="0.3">
      <c r="A397" s="785" t="s">
        <v>894</v>
      </c>
      <c r="B397" s="785" t="s">
        <v>525</v>
      </c>
      <c r="C397" s="810">
        <v>1142594</v>
      </c>
    </row>
    <row r="398" spans="1:3" ht="14.4" hidden="1" x14ac:dyDescent="0.3">
      <c r="A398" s="785" t="s">
        <v>895</v>
      </c>
      <c r="B398" s="785" t="s">
        <v>525</v>
      </c>
      <c r="C398" s="810">
        <v>1620766</v>
      </c>
    </row>
    <row r="399" spans="1:3" ht="14.4" hidden="1" x14ac:dyDescent="0.3">
      <c r="A399" s="785" t="s">
        <v>896</v>
      </c>
      <c r="B399" s="785" t="s">
        <v>525</v>
      </c>
      <c r="C399" s="810">
        <v>2656913</v>
      </c>
    </row>
    <row r="400" spans="1:3" ht="14.4" hidden="1" x14ac:dyDescent="0.3">
      <c r="A400" s="785" t="s">
        <v>897</v>
      </c>
      <c r="B400" s="785" t="s">
        <v>525</v>
      </c>
      <c r="C400" s="810">
        <v>819261</v>
      </c>
    </row>
    <row r="401" spans="1:3" ht="14.4" hidden="1" x14ac:dyDescent="0.3">
      <c r="A401" s="808" t="s">
        <v>525</v>
      </c>
      <c r="B401" s="808"/>
      <c r="C401" s="809">
        <v>22944484</v>
      </c>
    </row>
    <row r="402" spans="1:3" ht="14.4" hidden="1" x14ac:dyDescent="0.3">
      <c r="A402" s="785" t="s">
        <v>898</v>
      </c>
      <c r="B402" s="785" t="s">
        <v>899</v>
      </c>
      <c r="C402" s="810">
        <v>2718872</v>
      </c>
    </row>
    <row r="403" spans="1:3" ht="14.4" hidden="1" x14ac:dyDescent="0.3">
      <c r="A403" s="808" t="s">
        <v>899</v>
      </c>
      <c r="B403" s="808"/>
      <c r="C403" s="809">
        <v>2718872</v>
      </c>
    </row>
    <row r="404" spans="1:3" ht="14.4" hidden="1" x14ac:dyDescent="0.3">
      <c r="A404" s="785" t="s">
        <v>900</v>
      </c>
      <c r="B404" s="785" t="s">
        <v>700</v>
      </c>
      <c r="C404" s="810">
        <v>4746397</v>
      </c>
    </row>
    <row r="405" spans="1:3" ht="14.4" hidden="1" x14ac:dyDescent="0.3">
      <c r="A405" s="785" t="s">
        <v>901</v>
      </c>
      <c r="B405" s="785" t="s">
        <v>700</v>
      </c>
      <c r="C405" s="810">
        <v>4877008</v>
      </c>
    </row>
    <row r="406" spans="1:3" ht="14.4" hidden="1" x14ac:dyDescent="0.3">
      <c r="A406" s="808" t="s">
        <v>700</v>
      </c>
      <c r="B406" s="808"/>
      <c r="C406" s="809">
        <v>9623405</v>
      </c>
    </row>
    <row r="407" spans="1:3" ht="14.4" hidden="1" x14ac:dyDescent="0.3">
      <c r="A407" s="785" t="s">
        <v>902</v>
      </c>
      <c r="B407" s="785" t="s">
        <v>643</v>
      </c>
      <c r="C407" s="810">
        <v>2870350</v>
      </c>
    </row>
    <row r="408" spans="1:3" ht="14.4" hidden="1" x14ac:dyDescent="0.3">
      <c r="A408" s="785" t="s">
        <v>903</v>
      </c>
      <c r="B408" s="785" t="s">
        <v>643</v>
      </c>
      <c r="C408" s="810">
        <v>2459909</v>
      </c>
    </row>
    <row r="409" spans="1:3" ht="14.4" hidden="1" x14ac:dyDescent="0.3">
      <c r="A409" s="785" t="s">
        <v>904</v>
      </c>
      <c r="B409" s="785" t="s">
        <v>643</v>
      </c>
      <c r="C409" s="810">
        <v>720904</v>
      </c>
    </row>
    <row r="410" spans="1:3" ht="14.4" hidden="1" x14ac:dyDescent="0.3">
      <c r="A410" s="785" t="s">
        <v>905</v>
      </c>
      <c r="B410" s="785" t="s">
        <v>643</v>
      </c>
      <c r="C410" s="810">
        <v>4259255</v>
      </c>
    </row>
    <row r="411" spans="1:3" ht="14.4" hidden="1" x14ac:dyDescent="0.3">
      <c r="A411" s="785" t="s">
        <v>906</v>
      </c>
      <c r="B411" s="785" t="s">
        <v>643</v>
      </c>
      <c r="C411" s="810">
        <v>1731302</v>
      </c>
    </row>
    <row r="412" spans="1:3" ht="14.4" hidden="1" x14ac:dyDescent="0.3">
      <c r="A412" s="785" t="s">
        <v>907</v>
      </c>
      <c r="B412" s="785" t="s">
        <v>643</v>
      </c>
      <c r="C412" s="810">
        <v>1422910</v>
      </c>
    </row>
    <row r="413" spans="1:3" ht="14.4" hidden="1" x14ac:dyDescent="0.3">
      <c r="A413" s="808" t="s">
        <v>643</v>
      </c>
      <c r="B413" s="808"/>
      <c r="C413" s="809">
        <v>13464630</v>
      </c>
    </row>
    <row r="414" spans="1:3" ht="14.4" hidden="1" x14ac:dyDescent="0.3">
      <c r="A414" s="785" t="s">
        <v>908</v>
      </c>
      <c r="B414" s="785" t="s">
        <v>539</v>
      </c>
      <c r="C414" s="810">
        <v>1411830</v>
      </c>
    </row>
    <row r="415" spans="1:3" ht="14.4" hidden="1" x14ac:dyDescent="0.3">
      <c r="A415" s="785" t="s">
        <v>909</v>
      </c>
      <c r="B415" s="785" t="s">
        <v>539</v>
      </c>
      <c r="C415" s="810">
        <v>388765</v>
      </c>
    </row>
    <row r="416" spans="1:3" ht="14.4" hidden="1" x14ac:dyDescent="0.3">
      <c r="A416" s="785" t="s">
        <v>910</v>
      </c>
      <c r="B416" s="785" t="s">
        <v>539</v>
      </c>
      <c r="C416" s="810">
        <v>4646332</v>
      </c>
    </row>
    <row r="417" spans="1:3" ht="14.4" hidden="1" x14ac:dyDescent="0.3">
      <c r="A417" s="785" t="s">
        <v>911</v>
      </c>
      <c r="B417" s="785" t="s">
        <v>539</v>
      </c>
      <c r="C417" s="810">
        <v>6080</v>
      </c>
    </row>
    <row r="418" spans="1:3" ht="14.4" hidden="1" x14ac:dyDescent="0.3">
      <c r="A418" s="785" t="s">
        <v>912</v>
      </c>
      <c r="B418" s="785" t="s">
        <v>539</v>
      </c>
      <c r="C418" s="810">
        <v>6368941</v>
      </c>
    </row>
    <row r="419" spans="1:3" ht="14.4" hidden="1" x14ac:dyDescent="0.3">
      <c r="A419" s="785" t="s">
        <v>913</v>
      </c>
      <c r="B419" s="785" t="s">
        <v>539</v>
      </c>
      <c r="C419" s="810">
        <v>3146168</v>
      </c>
    </row>
    <row r="420" spans="1:3" ht="14.4" hidden="1" x14ac:dyDescent="0.3">
      <c r="A420" s="785" t="s">
        <v>914</v>
      </c>
      <c r="B420" s="785" t="s">
        <v>539</v>
      </c>
      <c r="C420" s="810">
        <v>3005580</v>
      </c>
    </row>
    <row r="421" spans="1:3" ht="14.4" hidden="1" x14ac:dyDescent="0.3">
      <c r="A421" s="785" t="s">
        <v>915</v>
      </c>
      <c r="B421" s="785" t="s">
        <v>539</v>
      </c>
      <c r="C421" s="810">
        <v>71109</v>
      </c>
    </row>
    <row r="422" spans="1:3" ht="14.4" hidden="1" x14ac:dyDescent="0.3">
      <c r="A422" s="785" t="s">
        <v>916</v>
      </c>
      <c r="B422" s="785" t="s">
        <v>539</v>
      </c>
      <c r="C422" s="810">
        <v>2933212</v>
      </c>
    </row>
    <row r="423" spans="1:3" ht="14.4" hidden="1" x14ac:dyDescent="0.3">
      <c r="A423" s="785" t="s">
        <v>917</v>
      </c>
      <c r="B423" s="785" t="s">
        <v>539</v>
      </c>
      <c r="C423" s="810">
        <v>28144</v>
      </c>
    </row>
    <row r="424" spans="1:3" ht="14.4" hidden="1" x14ac:dyDescent="0.3">
      <c r="A424" s="785" t="s">
        <v>918</v>
      </c>
      <c r="B424" s="785" t="s">
        <v>539</v>
      </c>
      <c r="C424" s="810">
        <v>4240524</v>
      </c>
    </row>
    <row r="425" spans="1:3" ht="14.4" hidden="1" x14ac:dyDescent="0.3">
      <c r="A425" s="808" t="s">
        <v>539</v>
      </c>
      <c r="B425" s="808"/>
      <c r="C425" s="809">
        <v>26246685</v>
      </c>
    </row>
    <row r="426" spans="1:3" ht="14.4" hidden="1" x14ac:dyDescent="0.3">
      <c r="A426" s="785" t="s">
        <v>919</v>
      </c>
      <c r="B426" s="785" t="s">
        <v>540</v>
      </c>
      <c r="C426" s="810">
        <v>1511168</v>
      </c>
    </row>
    <row r="427" spans="1:3" ht="14.4" hidden="1" x14ac:dyDescent="0.3">
      <c r="A427" s="785" t="s">
        <v>920</v>
      </c>
      <c r="B427" s="785" t="s">
        <v>540</v>
      </c>
      <c r="C427" s="810">
        <v>4601642</v>
      </c>
    </row>
    <row r="428" spans="1:3" ht="14.4" hidden="1" x14ac:dyDescent="0.3">
      <c r="A428" s="785" t="s">
        <v>921</v>
      </c>
      <c r="B428" s="785" t="s">
        <v>540</v>
      </c>
      <c r="C428" s="810">
        <v>1315119</v>
      </c>
    </row>
    <row r="429" spans="1:3" ht="14.4" hidden="1" x14ac:dyDescent="0.3">
      <c r="A429" s="785" t="s">
        <v>922</v>
      </c>
      <c r="B429" s="785" t="s">
        <v>540</v>
      </c>
      <c r="C429" s="810">
        <v>2812346</v>
      </c>
    </row>
    <row r="430" spans="1:3" ht="14.4" hidden="1" x14ac:dyDescent="0.3">
      <c r="A430" s="785" t="s">
        <v>923</v>
      </c>
      <c r="B430" s="785" t="s">
        <v>540</v>
      </c>
      <c r="C430" s="810">
        <v>1796053</v>
      </c>
    </row>
    <row r="431" spans="1:3" ht="14.4" hidden="1" x14ac:dyDescent="0.3">
      <c r="A431" s="785" t="s">
        <v>924</v>
      </c>
      <c r="B431" s="785" t="s">
        <v>540</v>
      </c>
      <c r="C431" s="810">
        <v>6549742</v>
      </c>
    </row>
    <row r="432" spans="1:3" ht="14.4" hidden="1" x14ac:dyDescent="0.3">
      <c r="A432" s="785" t="s">
        <v>925</v>
      </c>
      <c r="B432" s="785" t="s">
        <v>540</v>
      </c>
      <c r="C432" s="810">
        <v>2681653</v>
      </c>
    </row>
    <row r="433" spans="1:3" ht="14.4" hidden="1" x14ac:dyDescent="0.3">
      <c r="A433" s="785" t="s">
        <v>926</v>
      </c>
      <c r="B433" s="785" t="s">
        <v>540</v>
      </c>
      <c r="C433" s="810">
        <v>3242469</v>
      </c>
    </row>
    <row r="434" spans="1:3" ht="14.4" hidden="1" x14ac:dyDescent="0.3">
      <c r="A434" s="785" t="s">
        <v>927</v>
      </c>
      <c r="B434" s="785" t="s">
        <v>540</v>
      </c>
      <c r="C434" s="810">
        <v>1608310</v>
      </c>
    </row>
    <row r="435" spans="1:3" ht="14.4" hidden="1" x14ac:dyDescent="0.3">
      <c r="A435" s="785" t="s">
        <v>928</v>
      </c>
      <c r="B435" s="785" t="s">
        <v>540</v>
      </c>
      <c r="C435" s="810">
        <v>951324</v>
      </c>
    </row>
    <row r="436" spans="1:3" ht="14.4" hidden="1" x14ac:dyDescent="0.3">
      <c r="A436" s="808" t="s">
        <v>540</v>
      </c>
      <c r="B436" s="808"/>
      <c r="C436" s="809">
        <v>27069826</v>
      </c>
    </row>
    <row r="437" spans="1:3" ht="14.4" hidden="1" x14ac:dyDescent="0.3">
      <c r="A437" s="785" t="s">
        <v>929</v>
      </c>
      <c r="B437" s="785" t="s">
        <v>668</v>
      </c>
      <c r="C437" s="810">
        <v>4194044</v>
      </c>
    </row>
    <row r="438" spans="1:3" ht="14.4" hidden="1" x14ac:dyDescent="0.3">
      <c r="A438" s="785" t="s">
        <v>930</v>
      </c>
      <c r="B438" s="785" t="s">
        <v>668</v>
      </c>
      <c r="C438" s="810">
        <v>4139404</v>
      </c>
    </row>
    <row r="439" spans="1:3" ht="14.4" hidden="1" x14ac:dyDescent="0.3">
      <c r="A439" s="785" t="s">
        <v>915</v>
      </c>
      <c r="B439" s="785" t="s">
        <v>668</v>
      </c>
      <c r="C439" s="810">
        <v>1894349</v>
      </c>
    </row>
    <row r="440" spans="1:3" ht="14.4" hidden="1" x14ac:dyDescent="0.3">
      <c r="A440" s="785" t="s">
        <v>931</v>
      </c>
      <c r="B440" s="785" t="s">
        <v>668</v>
      </c>
      <c r="C440" s="810">
        <v>4954667</v>
      </c>
    </row>
    <row r="441" spans="1:3" ht="14.4" hidden="1" x14ac:dyDescent="0.3">
      <c r="A441" s="785" t="s">
        <v>932</v>
      </c>
      <c r="B441" s="785" t="s">
        <v>668</v>
      </c>
      <c r="C441" s="810">
        <v>2260241</v>
      </c>
    </row>
    <row r="442" spans="1:3" ht="14.4" hidden="1" x14ac:dyDescent="0.3">
      <c r="A442" s="785" t="s">
        <v>933</v>
      </c>
      <c r="B442" s="785" t="s">
        <v>668</v>
      </c>
      <c r="C442" s="810">
        <v>2287872</v>
      </c>
    </row>
    <row r="443" spans="1:3" ht="14.4" hidden="1" x14ac:dyDescent="0.3">
      <c r="A443" s="808" t="s">
        <v>668</v>
      </c>
      <c r="B443" s="808"/>
      <c r="C443" s="809">
        <v>19730577</v>
      </c>
    </row>
    <row r="444" spans="1:3" ht="14.4" hidden="1" x14ac:dyDescent="0.3">
      <c r="A444" s="785" t="s">
        <v>934</v>
      </c>
      <c r="B444" s="785" t="s">
        <v>558</v>
      </c>
      <c r="C444" s="810">
        <v>3979794</v>
      </c>
    </row>
    <row r="445" spans="1:3" ht="14.4" hidden="1" x14ac:dyDescent="0.3">
      <c r="A445" s="785" t="s">
        <v>935</v>
      </c>
      <c r="B445" s="785" t="s">
        <v>558</v>
      </c>
      <c r="C445" s="810">
        <v>1374154</v>
      </c>
    </row>
    <row r="446" spans="1:3" ht="14.4" hidden="1" x14ac:dyDescent="0.3">
      <c r="A446" s="785" t="s">
        <v>936</v>
      </c>
      <c r="B446" s="785" t="s">
        <v>558</v>
      </c>
      <c r="C446" s="810">
        <v>70269</v>
      </c>
    </row>
    <row r="447" spans="1:3" ht="14.4" hidden="1" x14ac:dyDescent="0.3">
      <c r="A447" s="785" t="s">
        <v>937</v>
      </c>
      <c r="B447" s="785" t="s">
        <v>558</v>
      </c>
      <c r="C447" s="810">
        <v>2940580</v>
      </c>
    </row>
    <row r="448" spans="1:3" ht="14.4" hidden="1" x14ac:dyDescent="0.3">
      <c r="A448" s="808" t="s">
        <v>558</v>
      </c>
      <c r="B448" s="808"/>
      <c r="C448" s="809">
        <v>8364797</v>
      </c>
    </row>
    <row r="449" spans="1:3" ht="14.4" hidden="1" x14ac:dyDescent="0.3">
      <c r="A449" s="785" t="s">
        <v>938</v>
      </c>
      <c r="B449" s="785" t="s">
        <v>543</v>
      </c>
      <c r="C449" s="810">
        <v>2034791</v>
      </c>
    </row>
    <row r="450" spans="1:3" ht="14.4" hidden="1" x14ac:dyDescent="0.3">
      <c r="A450" s="785" t="s">
        <v>939</v>
      </c>
      <c r="B450" s="785" t="s">
        <v>543</v>
      </c>
      <c r="C450" s="810">
        <v>2384212</v>
      </c>
    </row>
    <row r="451" spans="1:3" ht="14.4" hidden="1" x14ac:dyDescent="0.3">
      <c r="A451" s="785" t="s">
        <v>940</v>
      </c>
      <c r="B451" s="785" t="s">
        <v>543</v>
      </c>
      <c r="C451" s="810">
        <v>2639419</v>
      </c>
    </row>
    <row r="452" spans="1:3" ht="14.4" hidden="1" x14ac:dyDescent="0.3">
      <c r="A452" s="785" t="s">
        <v>917</v>
      </c>
      <c r="B452" s="785" t="s">
        <v>543</v>
      </c>
      <c r="C452" s="810">
        <v>1884271</v>
      </c>
    </row>
    <row r="453" spans="1:3" ht="14.4" hidden="1" x14ac:dyDescent="0.3">
      <c r="A453" s="808" t="s">
        <v>543</v>
      </c>
      <c r="B453" s="808"/>
      <c r="C453" s="809">
        <v>8942693</v>
      </c>
    </row>
    <row r="454" spans="1:3" ht="14.4" hidden="1" x14ac:dyDescent="0.3">
      <c r="A454" s="785" t="s">
        <v>941</v>
      </c>
      <c r="B454" s="785" t="s">
        <v>638</v>
      </c>
      <c r="C454" s="810">
        <v>1394027</v>
      </c>
    </row>
    <row r="455" spans="1:3" ht="14.4" hidden="1" x14ac:dyDescent="0.3">
      <c r="A455" s="785" t="s">
        <v>942</v>
      </c>
      <c r="B455" s="785" t="s">
        <v>638</v>
      </c>
      <c r="C455" s="810">
        <v>1227487</v>
      </c>
    </row>
    <row r="456" spans="1:3" ht="14.4" hidden="1" x14ac:dyDescent="0.3">
      <c r="A456" s="785" t="s">
        <v>943</v>
      </c>
      <c r="B456" s="785" t="s">
        <v>638</v>
      </c>
      <c r="C456" s="810">
        <v>2730910</v>
      </c>
    </row>
    <row r="457" spans="1:3" ht="14.4" hidden="1" x14ac:dyDescent="0.3">
      <c r="A457" s="785" t="s">
        <v>944</v>
      </c>
      <c r="B457" s="785" t="s">
        <v>638</v>
      </c>
      <c r="C457" s="810">
        <v>2868074</v>
      </c>
    </row>
    <row r="458" spans="1:3" ht="14.4" hidden="1" x14ac:dyDescent="0.3">
      <c r="A458" s="785" t="s">
        <v>945</v>
      </c>
      <c r="B458" s="785" t="s">
        <v>638</v>
      </c>
      <c r="C458" s="810">
        <v>1968288</v>
      </c>
    </row>
    <row r="459" spans="1:3" ht="14.4" hidden="1" x14ac:dyDescent="0.3">
      <c r="A459" s="785" t="s">
        <v>946</v>
      </c>
      <c r="B459" s="785" t="s">
        <v>638</v>
      </c>
      <c r="C459" s="810">
        <v>2242646</v>
      </c>
    </row>
    <row r="460" spans="1:3" ht="14.4" hidden="1" x14ac:dyDescent="0.3">
      <c r="A460" s="785" t="s">
        <v>947</v>
      </c>
      <c r="B460" s="785" t="s">
        <v>638</v>
      </c>
      <c r="C460" s="810">
        <v>1799197</v>
      </c>
    </row>
    <row r="461" spans="1:3" ht="14.4" hidden="1" x14ac:dyDescent="0.3">
      <c r="A461" s="808" t="s">
        <v>638</v>
      </c>
      <c r="B461" s="808"/>
      <c r="C461" s="809">
        <v>14230629</v>
      </c>
    </row>
    <row r="462" spans="1:3" ht="14.4" hidden="1" x14ac:dyDescent="0.3">
      <c r="A462" s="785" t="s">
        <v>948</v>
      </c>
      <c r="B462" s="785" t="s">
        <v>755</v>
      </c>
      <c r="C462" s="810">
        <v>2088600</v>
      </c>
    </row>
    <row r="463" spans="1:3" ht="14.4" hidden="1" x14ac:dyDescent="0.3">
      <c r="A463" s="785" t="s">
        <v>949</v>
      </c>
      <c r="B463" s="785" t="s">
        <v>755</v>
      </c>
      <c r="C463" s="810">
        <v>58061</v>
      </c>
    </row>
    <row r="464" spans="1:3" ht="14.4" hidden="1" x14ac:dyDescent="0.3">
      <c r="A464" s="785" t="s">
        <v>950</v>
      </c>
      <c r="B464" s="785" t="s">
        <v>755</v>
      </c>
      <c r="C464" s="810">
        <v>1263314</v>
      </c>
    </row>
    <row r="465" spans="1:3" ht="14.4" hidden="1" x14ac:dyDescent="0.3">
      <c r="A465" s="785" t="s">
        <v>951</v>
      </c>
      <c r="B465" s="785" t="s">
        <v>755</v>
      </c>
      <c r="C465" s="810">
        <v>532676</v>
      </c>
    </row>
    <row r="466" spans="1:3" ht="14.4" hidden="1" x14ac:dyDescent="0.3">
      <c r="A466" s="808" t="s">
        <v>755</v>
      </c>
      <c r="B466" s="808"/>
      <c r="C466" s="809">
        <v>3942651</v>
      </c>
    </row>
    <row r="467" spans="1:3" ht="14.4" hidden="1" x14ac:dyDescent="0.3">
      <c r="A467" s="785" t="s">
        <v>952</v>
      </c>
      <c r="B467" s="785" t="s">
        <v>529</v>
      </c>
      <c r="C467" s="810">
        <v>5205961</v>
      </c>
    </row>
    <row r="468" spans="1:3" ht="14.4" hidden="1" x14ac:dyDescent="0.3">
      <c r="A468" s="785" t="s">
        <v>953</v>
      </c>
      <c r="B468" s="785" t="s">
        <v>529</v>
      </c>
      <c r="C468" s="810">
        <v>2882916</v>
      </c>
    </row>
    <row r="469" spans="1:3" ht="14.4" hidden="1" x14ac:dyDescent="0.3">
      <c r="A469" s="785" t="s">
        <v>954</v>
      </c>
      <c r="B469" s="785" t="s">
        <v>529</v>
      </c>
      <c r="C469" s="810">
        <v>1625213</v>
      </c>
    </row>
    <row r="470" spans="1:3" ht="14.4" hidden="1" x14ac:dyDescent="0.3">
      <c r="A470" s="785" t="s">
        <v>870</v>
      </c>
      <c r="B470" s="785" t="s">
        <v>529</v>
      </c>
      <c r="C470" s="810">
        <v>4068384</v>
      </c>
    </row>
    <row r="471" spans="1:3" ht="14.4" hidden="1" x14ac:dyDescent="0.3">
      <c r="A471" s="785" t="s">
        <v>955</v>
      </c>
      <c r="B471" s="785" t="s">
        <v>529</v>
      </c>
      <c r="C471" s="810">
        <v>4390726</v>
      </c>
    </row>
    <row r="472" spans="1:3" ht="14.4" hidden="1" x14ac:dyDescent="0.3">
      <c r="A472" s="808" t="s">
        <v>529</v>
      </c>
      <c r="B472" s="808"/>
      <c r="C472" s="809">
        <v>18173200</v>
      </c>
    </row>
    <row r="473" spans="1:3" ht="14.4" hidden="1" x14ac:dyDescent="0.3">
      <c r="A473" s="785" t="s">
        <v>956</v>
      </c>
      <c r="B473" s="785" t="s">
        <v>531</v>
      </c>
      <c r="C473" s="810">
        <v>4051539</v>
      </c>
    </row>
    <row r="474" spans="1:3" ht="14.4" hidden="1" x14ac:dyDescent="0.3">
      <c r="A474" s="785" t="s">
        <v>957</v>
      </c>
      <c r="B474" s="785" t="s">
        <v>531</v>
      </c>
      <c r="C474" s="810">
        <v>4403023</v>
      </c>
    </row>
    <row r="475" spans="1:3" ht="14.4" hidden="1" x14ac:dyDescent="0.3">
      <c r="A475" s="785" t="s">
        <v>958</v>
      </c>
      <c r="B475" s="785" t="s">
        <v>531</v>
      </c>
      <c r="C475" s="810">
        <v>5622099</v>
      </c>
    </row>
    <row r="476" spans="1:3" ht="14.4" hidden="1" x14ac:dyDescent="0.3">
      <c r="A476" s="785" t="s">
        <v>959</v>
      </c>
      <c r="B476" s="785" t="s">
        <v>531</v>
      </c>
      <c r="C476" s="810">
        <v>2456985</v>
      </c>
    </row>
    <row r="477" spans="1:3" ht="14.4" hidden="1" x14ac:dyDescent="0.3">
      <c r="A477" s="808" t="s">
        <v>531</v>
      </c>
      <c r="B477" s="808"/>
      <c r="C477" s="809">
        <v>16533646</v>
      </c>
    </row>
    <row r="478" spans="1:3" ht="14.4" hidden="1" x14ac:dyDescent="0.3">
      <c r="A478" s="785" t="s">
        <v>960</v>
      </c>
      <c r="B478" s="785" t="s">
        <v>552</v>
      </c>
      <c r="C478" s="810">
        <v>1964188</v>
      </c>
    </row>
    <row r="479" spans="1:3" ht="14.4" hidden="1" x14ac:dyDescent="0.3">
      <c r="A479" s="785" t="s">
        <v>961</v>
      </c>
      <c r="B479" s="785" t="s">
        <v>552</v>
      </c>
      <c r="C479" s="810">
        <v>1859496</v>
      </c>
    </row>
    <row r="480" spans="1:3" ht="14.4" hidden="1" x14ac:dyDescent="0.3">
      <c r="A480" s="785" t="s">
        <v>962</v>
      </c>
      <c r="B480" s="785" t="s">
        <v>552</v>
      </c>
      <c r="C480" s="810">
        <v>1087165</v>
      </c>
    </row>
    <row r="481" spans="1:3" ht="14.4" hidden="1" x14ac:dyDescent="0.3">
      <c r="A481" s="785" t="s">
        <v>922</v>
      </c>
      <c r="B481" s="785" t="s">
        <v>552</v>
      </c>
      <c r="C481" s="810">
        <v>13875</v>
      </c>
    </row>
    <row r="482" spans="1:3" ht="14.4" hidden="1" x14ac:dyDescent="0.3">
      <c r="A482" s="785" t="s">
        <v>963</v>
      </c>
      <c r="B482" s="785" t="s">
        <v>552</v>
      </c>
      <c r="C482" s="810">
        <v>1985528</v>
      </c>
    </row>
    <row r="483" spans="1:3" ht="14.4" hidden="1" x14ac:dyDescent="0.3">
      <c r="A483" s="785" t="s">
        <v>964</v>
      </c>
      <c r="B483" s="785" t="s">
        <v>552</v>
      </c>
      <c r="C483" s="810">
        <v>1621267</v>
      </c>
    </row>
    <row r="484" spans="1:3" ht="14.4" hidden="1" x14ac:dyDescent="0.3">
      <c r="A484" s="785" t="s">
        <v>925</v>
      </c>
      <c r="B484" s="785" t="s">
        <v>552</v>
      </c>
      <c r="C484" s="810">
        <v>162447</v>
      </c>
    </row>
    <row r="485" spans="1:3" ht="14.4" hidden="1" x14ac:dyDescent="0.3">
      <c r="A485" s="785" t="s">
        <v>965</v>
      </c>
      <c r="B485" s="785" t="s">
        <v>552</v>
      </c>
      <c r="C485" s="810">
        <v>1422008</v>
      </c>
    </row>
    <row r="486" spans="1:3" ht="14.4" hidden="1" x14ac:dyDescent="0.3">
      <c r="A486" s="785" t="s">
        <v>966</v>
      </c>
      <c r="B486" s="785" t="s">
        <v>552</v>
      </c>
      <c r="C486" s="810">
        <v>1102454</v>
      </c>
    </row>
    <row r="487" spans="1:3" ht="14.4" hidden="1" x14ac:dyDescent="0.3">
      <c r="A487" s="785" t="s">
        <v>967</v>
      </c>
      <c r="B487" s="785" t="s">
        <v>552</v>
      </c>
      <c r="C487" s="810">
        <v>3080458</v>
      </c>
    </row>
    <row r="488" spans="1:3" ht="14.4" hidden="1" x14ac:dyDescent="0.3">
      <c r="A488" s="785" t="s">
        <v>968</v>
      </c>
      <c r="B488" s="785" t="s">
        <v>552</v>
      </c>
      <c r="C488" s="810">
        <v>3574597</v>
      </c>
    </row>
    <row r="489" spans="1:3" ht="14.4" hidden="1" x14ac:dyDescent="0.3">
      <c r="A489" s="785" t="s">
        <v>969</v>
      </c>
      <c r="B489" s="785" t="s">
        <v>552</v>
      </c>
      <c r="C489" s="810">
        <v>3392811</v>
      </c>
    </row>
    <row r="490" spans="1:3" ht="14.4" hidden="1" x14ac:dyDescent="0.3">
      <c r="A490" s="785" t="s">
        <v>970</v>
      </c>
      <c r="B490" s="785" t="s">
        <v>552</v>
      </c>
      <c r="C490" s="810">
        <v>2883559</v>
      </c>
    </row>
    <row r="491" spans="1:3" ht="14.4" hidden="1" x14ac:dyDescent="0.3">
      <c r="A491" s="785" t="s">
        <v>971</v>
      </c>
      <c r="B491" s="785" t="s">
        <v>552</v>
      </c>
      <c r="C491" s="810">
        <v>1938943</v>
      </c>
    </row>
    <row r="492" spans="1:3" ht="14.4" hidden="1" x14ac:dyDescent="0.3">
      <c r="A492" s="808" t="s">
        <v>552</v>
      </c>
      <c r="B492" s="808"/>
      <c r="C492" s="809">
        <v>26088796</v>
      </c>
    </row>
    <row r="493" spans="1:3" ht="14.4" hidden="1" x14ac:dyDescent="0.3">
      <c r="A493" s="785" t="s">
        <v>972</v>
      </c>
      <c r="B493" s="785" t="s">
        <v>574</v>
      </c>
      <c r="C493" s="810">
        <v>3386469</v>
      </c>
    </row>
    <row r="494" spans="1:3" ht="14.4" hidden="1" x14ac:dyDescent="0.3">
      <c r="A494" s="785" t="s">
        <v>973</v>
      </c>
      <c r="B494" s="785" t="s">
        <v>574</v>
      </c>
      <c r="C494" s="810">
        <v>277412</v>
      </c>
    </row>
    <row r="495" spans="1:3" ht="14.4" hidden="1" x14ac:dyDescent="0.3">
      <c r="A495" s="785" t="s">
        <v>974</v>
      </c>
      <c r="B495" s="785" t="s">
        <v>574</v>
      </c>
      <c r="C495" s="810">
        <v>175861</v>
      </c>
    </row>
    <row r="496" spans="1:3" ht="14.4" hidden="1" x14ac:dyDescent="0.3">
      <c r="A496" s="785" t="s">
        <v>975</v>
      </c>
      <c r="B496" s="785" t="s">
        <v>574</v>
      </c>
      <c r="C496" s="810">
        <v>1860471</v>
      </c>
    </row>
    <row r="497" spans="1:3" ht="14.4" hidden="1" x14ac:dyDescent="0.3">
      <c r="A497" s="785" t="s">
        <v>976</v>
      </c>
      <c r="B497" s="785" t="s">
        <v>574</v>
      </c>
      <c r="C497" s="810">
        <v>4156868</v>
      </c>
    </row>
    <row r="498" spans="1:3" ht="14.4" hidden="1" x14ac:dyDescent="0.3">
      <c r="A498" s="785" t="s">
        <v>977</v>
      </c>
      <c r="B498" s="785" t="s">
        <v>574</v>
      </c>
      <c r="C498" s="810">
        <v>3568730</v>
      </c>
    </row>
    <row r="499" spans="1:3" ht="14.4" hidden="1" x14ac:dyDescent="0.3">
      <c r="A499" s="808" t="s">
        <v>574</v>
      </c>
      <c r="B499" s="808"/>
      <c r="C499" s="809">
        <v>13425811</v>
      </c>
    </row>
    <row r="500" spans="1:3" ht="14.4" hidden="1" x14ac:dyDescent="0.3">
      <c r="A500" s="785" t="s">
        <v>978</v>
      </c>
      <c r="B500" s="785" t="s">
        <v>567</v>
      </c>
      <c r="C500" s="810">
        <v>1494070</v>
      </c>
    </row>
    <row r="501" spans="1:3" ht="14.4" hidden="1" x14ac:dyDescent="0.3">
      <c r="A501" s="785" t="s">
        <v>979</v>
      </c>
      <c r="B501" s="785" t="s">
        <v>567</v>
      </c>
      <c r="C501" s="810">
        <v>1965984</v>
      </c>
    </row>
    <row r="502" spans="1:3" ht="14.4" hidden="1" x14ac:dyDescent="0.3">
      <c r="A502" s="808" t="s">
        <v>567</v>
      </c>
      <c r="B502" s="808"/>
      <c r="C502" s="809">
        <v>3460054</v>
      </c>
    </row>
    <row r="503" spans="1:3" ht="14.4" hidden="1" x14ac:dyDescent="0.3">
      <c r="A503" s="785" t="s">
        <v>911</v>
      </c>
      <c r="B503" s="785" t="s">
        <v>559</v>
      </c>
      <c r="C503" s="810">
        <v>2113400</v>
      </c>
    </row>
    <row r="504" spans="1:3" ht="14.4" hidden="1" x14ac:dyDescent="0.3">
      <c r="A504" s="785" t="s">
        <v>980</v>
      </c>
      <c r="B504" s="785" t="s">
        <v>559</v>
      </c>
      <c r="C504" s="810">
        <v>4063462</v>
      </c>
    </row>
    <row r="505" spans="1:3" ht="14.4" hidden="1" x14ac:dyDescent="0.3">
      <c r="A505" s="785" t="s">
        <v>981</v>
      </c>
      <c r="B505" s="785" t="s">
        <v>559</v>
      </c>
      <c r="C505" s="810">
        <v>1927679</v>
      </c>
    </row>
    <row r="506" spans="1:3" ht="14.4" hidden="1" x14ac:dyDescent="0.3">
      <c r="A506" s="785" t="s">
        <v>982</v>
      </c>
      <c r="B506" s="785" t="s">
        <v>559</v>
      </c>
      <c r="C506" s="810">
        <v>1618441</v>
      </c>
    </row>
    <row r="507" spans="1:3" ht="14.4" hidden="1" x14ac:dyDescent="0.3">
      <c r="A507" s="785" t="s">
        <v>983</v>
      </c>
      <c r="B507" s="785" t="s">
        <v>559</v>
      </c>
      <c r="C507" s="810">
        <v>1999951</v>
      </c>
    </row>
    <row r="508" spans="1:3" ht="14.4" hidden="1" x14ac:dyDescent="0.3">
      <c r="A508" s="785" t="s">
        <v>936</v>
      </c>
      <c r="B508" s="785" t="s">
        <v>559</v>
      </c>
      <c r="C508" s="810">
        <v>2482293</v>
      </c>
    </row>
    <row r="509" spans="1:3" ht="14.4" hidden="1" x14ac:dyDescent="0.3">
      <c r="A509" s="808" t="s">
        <v>559</v>
      </c>
      <c r="B509" s="808"/>
      <c r="C509" s="809">
        <v>14205226</v>
      </c>
    </row>
    <row r="510" spans="1:3" ht="14.4" hidden="1" x14ac:dyDescent="0.3">
      <c r="A510" s="785" t="s">
        <v>984</v>
      </c>
      <c r="B510" s="785" t="s">
        <v>985</v>
      </c>
      <c r="C510" s="810">
        <v>2859705</v>
      </c>
    </row>
    <row r="511" spans="1:3" ht="14.4" hidden="1" x14ac:dyDescent="0.3">
      <c r="A511" s="785" t="s">
        <v>986</v>
      </c>
      <c r="B511" s="785" t="s">
        <v>985</v>
      </c>
      <c r="C511" s="810">
        <v>1437964</v>
      </c>
    </row>
    <row r="512" spans="1:3" ht="14.4" hidden="1" x14ac:dyDescent="0.3">
      <c r="A512" s="785" t="s">
        <v>987</v>
      </c>
      <c r="B512" s="785" t="s">
        <v>985</v>
      </c>
      <c r="C512" s="810">
        <v>2487087</v>
      </c>
    </row>
    <row r="513" spans="1:3" ht="14.4" hidden="1" x14ac:dyDescent="0.3">
      <c r="A513" s="785" t="s">
        <v>988</v>
      </c>
      <c r="B513" s="785" t="s">
        <v>985</v>
      </c>
      <c r="C513" s="810">
        <v>1005293</v>
      </c>
    </row>
    <row r="514" spans="1:3" ht="14.4" hidden="1" x14ac:dyDescent="0.3">
      <c r="A514" s="785" t="s">
        <v>989</v>
      </c>
      <c r="B514" s="785" t="s">
        <v>985</v>
      </c>
      <c r="C514" s="810">
        <v>3348704</v>
      </c>
    </row>
    <row r="515" spans="1:3" ht="14.4" hidden="1" x14ac:dyDescent="0.3">
      <c r="A515" s="808" t="s">
        <v>985</v>
      </c>
      <c r="B515" s="808"/>
      <c r="C515" s="809">
        <v>11138753</v>
      </c>
    </row>
    <row r="516" spans="1:3" ht="14.4" hidden="1" x14ac:dyDescent="0.3">
      <c r="A516" s="785" t="s">
        <v>990</v>
      </c>
      <c r="B516" s="785" t="s">
        <v>720</v>
      </c>
      <c r="C516" s="810">
        <v>1120832</v>
      </c>
    </row>
    <row r="517" spans="1:3" ht="14.4" hidden="1" x14ac:dyDescent="0.3">
      <c r="A517" s="785" t="s">
        <v>932</v>
      </c>
      <c r="B517" s="785" t="s">
        <v>720</v>
      </c>
      <c r="C517" s="810">
        <v>436211</v>
      </c>
    </row>
    <row r="518" spans="1:3" ht="14.4" hidden="1" x14ac:dyDescent="0.3">
      <c r="A518" s="808" t="s">
        <v>720</v>
      </c>
      <c r="B518" s="808"/>
      <c r="C518" s="809">
        <v>1557043</v>
      </c>
    </row>
    <row r="519" spans="1:3" ht="14.4" x14ac:dyDescent="0.3">
      <c r="A519" s="785" t="s">
        <v>812</v>
      </c>
      <c r="B519" s="785" t="s">
        <v>562</v>
      </c>
      <c r="C519" s="810">
        <v>4258</v>
      </c>
    </row>
    <row r="520" spans="1:3" ht="14.4" x14ac:dyDescent="0.3">
      <c r="A520" s="785" t="s">
        <v>991</v>
      </c>
      <c r="B520" s="785" t="s">
        <v>562</v>
      </c>
      <c r="C520" s="810">
        <v>2375303</v>
      </c>
    </row>
    <row r="521" spans="1:3" ht="14.4" x14ac:dyDescent="0.3">
      <c r="A521" s="808" t="s">
        <v>562</v>
      </c>
      <c r="B521" s="808"/>
      <c r="C521" s="809">
        <v>2379561</v>
      </c>
    </row>
    <row r="522" spans="1:3" ht="14.4" hidden="1" x14ac:dyDescent="0.3">
      <c r="A522" s="785" t="s">
        <v>949</v>
      </c>
      <c r="B522" s="785" t="s">
        <v>532</v>
      </c>
      <c r="C522" s="810">
        <v>1221434</v>
      </c>
    </row>
    <row r="523" spans="1:3" ht="14.4" hidden="1" x14ac:dyDescent="0.3">
      <c r="A523" s="785" t="s">
        <v>992</v>
      </c>
      <c r="B523" s="785" t="s">
        <v>532</v>
      </c>
      <c r="C523" s="810">
        <v>3355080</v>
      </c>
    </row>
    <row r="524" spans="1:3" ht="14.4" hidden="1" x14ac:dyDescent="0.3">
      <c r="A524" s="785" t="s">
        <v>951</v>
      </c>
      <c r="B524" s="785" t="s">
        <v>532</v>
      </c>
      <c r="C524" s="810">
        <v>888101</v>
      </c>
    </row>
    <row r="525" spans="1:3" ht="14.4" hidden="1" x14ac:dyDescent="0.3">
      <c r="A525" s="808" t="s">
        <v>532</v>
      </c>
      <c r="B525" s="808"/>
      <c r="C525" s="809">
        <v>5464615</v>
      </c>
    </row>
    <row r="526" spans="1:3" ht="14.4" hidden="1" x14ac:dyDescent="0.3">
      <c r="A526" s="785" t="s">
        <v>993</v>
      </c>
      <c r="B526" s="785" t="s">
        <v>577</v>
      </c>
      <c r="C526" s="810">
        <v>2563191</v>
      </c>
    </row>
    <row r="527" spans="1:3" ht="14.4" hidden="1" x14ac:dyDescent="0.3">
      <c r="A527" s="808" t="s">
        <v>577</v>
      </c>
      <c r="B527" s="808"/>
      <c r="C527" s="809">
        <v>2563191</v>
      </c>
    </row>
    <row r="528" spans="1:3" ht="14.4" hidden="1" x14ac:dyDescent="0.3">
      <c r="A528" s="785" t="s">
        <v>994</v>
      </c>
      <c r="B528" s="785" t="s">
        <v>622</v>
      </c>
      <c r="C528" s="810">
        <v>2031673</v>
      </c>
    </row>
    <row r="529" spans="1:3" ht="14.4" hidden="1" x14ac:dyDescent="0.3">
      <c r="A529" s="785" t="s">
        <v>995</v>
      </c>
      <c r="B529" s="785" t="s">
        <v>622</v>
      </c>
      <c r="C529" s="810">
        <v>4588782</v>
      </c>
    </row>
    <row r="530" spans="1:3" ht="14.4" hidden="1" x14ac:dyDescent="0.3">
      <c r="A530" s="785" t="s">
        <v>996</v>
      </c>
      <c r="B530" s="785" t="s">
        <v>622</v>
      </c>
      <c r="C530" s="810">
        <v>975661</v>
      </c>
    </row>
    <row r="531" spans="1:3" ht="14.4" hidden="1" x14ac:dyDescent="0.3">
      <c r="A531" s="785" t="s">
        <v>997</v>
      </c>
      <c r="B531" s="785" t="s">
        <v>622</v>
      </c>
      <c r="C531" s="810">
        <v>2467938</v>
      </c>
    </row>
    <row r="532" spans="1:3" ht="14.4" hidden="1" x14ac:dyDescent="0.3">
      <c r="A532" s="808" t="s">
        <v>622</v>
      </c>
      <c r="B532" s="808"/>
      <c r="C532" s="809">
        <v>10064054</v>
      </c>
    </row>
    <row r="533" spans="1:3" ht="14.4" hidden="1" x14ac:dyDescent="0.3">
      <c r="A533" s="785" t="s">
        <v>998</v>
      </c>
      <c r="B533" s="785" t="s">
        <v>578</v>
      </c>
      <c r="C533" s="810">
        <v>5122324</v>
      </c>
    </row>
    <row r="534" spans="1:3" ht="14.4" hidden="1" x14ac:dyDescent="0.3">
      <c r="A534" s="785" t="s">
        <v>866</v>
      </c>
      <c r="B534" s="785" t="s">
        <v>578</v>
      </c>
      <c r="C534" s="810">
        <v>518812</v>
      </c>
    </row>
    <row r="535" spans="1:3" ht="14.4" hidden="1" x14ac:dyDescent="0.3">
      <c r="A535" s="785" t="s">
        <v>999</v>
      </c>
      <c r="B535" s="785" t="s">
        <v>578</v>
      </c>
      <c r="C535" s="810">
        <v>1569257</v>
      </c>
    </row>
    <row r="536" spans="1:3" ht="14.4" hidden="1" x14ac:dyDescent="0.3">
      <c r="A536" s="785" t="s">
        <v>1000</v>
      </c>
      <c r="B536" s="785" t="s">
        <v>578</v>
      </c>
      <c r="C536" s="810">
        <v>1565250</v>
      </c>
    </row>
    <row r="537" spans="1:3" ht="14.4" hidden="1" x14ac:dyDescent="0.3">
      <c r="A537" s="785" t="s">
        <v>1001</v>
      </c>
      <c r="B537" s="785" t="s">
        <v>578</v>
      </c>
      <c r="C537" s="810">
        <v>4597170</v>
      </c>
    </row>
    <row r="538" spans="1:3" ht="14.4" hidden="1" x14ac:dyDescent="0.3">
      <c r="A538" s="785" t="s">
        <v>1002</v>
      </c>
      <c r="B538" s="785" t="s">
        <v>578</v>
      </c>
      <c r="C538" s="810">
        <v>2179671</v>
      </c>
    </row>
    <row r="539" spans="1:3" ht="14.4" hidden="1" x14ac:dyDescent="0.3">
      <c r="A539" s="785" t="s">
        <v>1003</v>
      </c>
      <c r="B539" s="785" t="s">
        <v>578</v>
      </c>
      <c r="C539" s="810">
        <v>5047102</v>
      </c>
    </row>
    <row r="540" spans="1:3" ht="14.4" hidden="1" x14ac:dyDescent="0.3">
      <c r="A540" s="785" t="s">
        <v>1004</v>
      </c>
      <c r="B540" s="785" t="s">
        <v>578</v>
      </c>
      <c r="C540" s="810">
        <v>3135991</v>
      </c>
    </row>
    <row r="541" spans="1:3" ht="14.4" hidden="1" x14ac:dyDescent="0.3">
      <c r="A541" s="785" t="s">
        <v>1005</v>
      </c>
      <c r="B541" s="785" t="s">
        <v>578</v>
      </c>
      <c r="C541" s="810">
        <v>1031166</v>
      </c>
    </row>
    <row r="542" spans="1:3" ht="14.4" hidden="1" x14ac:dyDescent="0.3">
      <c r="A542" s="785" t="s">
        <v>1006</v>
      </c>
      <c r="B542" s="785" t="s">
        <v>578</v>
      </c>
      <c r="C542" s="810">
        <v>2128848</v>
      </c>
    </row>
    <row r="543" spans="1:3" ht="14.4" hidden="1" x14ac:dyDescent="0.3">
      <c r="A543" s="785" t="s">
        <v>1007</v>
      </c>
      <c r="B543" s="785" t="s">
        <v>578</v>
      </c>
      <c r="C543" s="810">
        <v>3166955</v>
      </c>
    </row>
    <row r="544" spans="1:3" ht="14.4" hidden="1" x14ac:dyDescent="0.3">
      <c r="A544" s="785" t="s">
        <v>1008</v>
      </c>
      <c r="B544" s="785" t="s">
        <v>578</v>
      </c>
      <c r="C544" s="810">
        <v>1220133</v>
      </c>
    </row>
    <row r="545" spans="1:3" ht="14.4" hidden="1" x14ac:dyDescent="0.3">
      <c r="A545" s="808" t="s">
        <v>578</v>
      </c>
      <c r="B545" s="808"/>
      <c r="C545" s="809">
        <v>31282679</v>
      </c>
    </row>
    <row r="546" spans="1:3" ht="14.4" hidden="1" x14ac:dyDescent="0.3">
      <c r="A546" s="785" t="s">
        <v>1009</v>
      </c>
      <c r="B546" s="785" t="s">
        <v>535</v>
      </c>
      <c r="C546" s="810">
        <v>3813628</v>
      </c>
    </row>
    <row r="547" spans="1:3" ht="14.4" hidden="1" x14ac:dyDescent="0.3">
      <c r="A547" s="785" t="s">
        <v>1010</v>
      </c>
      <c r="B547" s="785" t="s">
        <v>535</v>
      </c>
      <c r="C547" s="810">
        <v>931695</v>
      </c>
    </row>
    <row r="548" spans="1:3" ht="14.4" hidden="1" x14ac:dyDescent="0.3">
      <c r="A548" s="785" t="s">
        <v>1011</v>
      </c>
      <c r="B548" s="785" t="s">
        <v>535</v>
      </c>
      <c r="C548" s="810">
        <v>3256205</v>
      </c>
    </row>
    <row r="549" spans="1:3" ht="14.4" hidden="1" x14ac:dyDescent="0.3">
      <c r="A549" s="785" t="s">
        <v>1012</v>
      </c>
      <c r="B549" s="785" t="s">
        <v>535</v>
      </c>
      <c r="C549" s="810">
        <v>946914</v>
      </c>
    </row>
    <row r="550" spans="1:3" ht="14.4" hidden="1" x14ac:dyDescent="0.3">
      <c r="A550" s="785" t="s">
        <v>1013</v>
      </c>
      <c r="B550" s="785" t="s">
        <v>535</v>
      </c>
      <c r="C550" s="810">
        <v>2474731</v>
      </c>
    </row>
    <row r="551" spans="1:3" ht="14.4" hidden="1" x14ac:dyDescent="0.3">
      <c r="A551" s="785" t="s">
        <v>1014</v>
      </c>
      <c r="B551" s="785" t="s">
        <v>535</v>
      </c>
      <c r="C551" s="810">
        <v>3799087</v>
      </c>
    </row>
    <row r="552" spans="1:3" ht="14.4" hidden="1" x14ac:dyDescent="0.3">
      <c r="A552" s="785" t="s">
        <v>1015</v>
      </c>
      <c r="B552" s="785" t="s">
        <v>535</v>
      </c>
      <c r="C552" s="810">
        <v>2097177</v>
      </c>
    </row>
    <row r="553" spans="1:3" ht="14.4" hidden="1" x14ac:dyDescent="0.3">
      <c r="A553" s="785" t="s">
        <v>1016</v>
      </c>
      <c r="B553" s="785" t="s">
        <v>535</v>
      </c>
      <c r="C553" s="810">
        <v>812525</v>
      </c>
    </row>
    <row r="554" spans="1:3" ht="14.4" hidden="1" x14ac:dyDescent="0.3">
      <c r="A554" s="785" t="s">
        <v>1017</v>
      </c>
      <c r="B554" s="785" t="s">
        <v>535</v>
      </c>
      <c r="C554" s="810">
        <v>3213250</v>
      </c>
    </row>
    <row r="555" spans="1:3" ht="14.4" hidden="1" x14ac:dyDescent="0.3">
      <c r="A555" s="808" t="s">
        <v>535</v>
      </c>
      <c r="B555" s="808"/>
      <c r="C555" s="809">
        <v>21345212</v>
      </c>
    </row>
    <row r="556" spans="1:3" ht="14.4" hidden="1" x14ac:dyDescent="0.3">
      <c r="A556" s="785" t="s">
        <v>1018</v>
      </c>
      <c r="B556" s="785" t="s">
        <v>681</v>
      </c>
      <c r="C556" s="810">
        <v>2126199</v>
      </c>
    </row>
    <row r="557" spans="1:3" ht="14.4" hidden="1" x14ac:dyDescent="0.3">
      <c r="A557" s="785" t="s">
        <v>973</v>
      </c>
      <c r="B557" s="785" t="s">
        <v>681</v>
      </c>
      <c r="C557" s="810">
        <v>1810055</v>
      </c>
    </row>
    <row r="558" spans="1:3" ht="14.4" hidden="1" x14ac:dyDescent="0.3">
      <c r="A558" s="785" t="s">
        <v>1019</v>
      </c>
      <c r="B558" s="785" t="s">
        <v>681</v>
      </c>
      <c r="C558" s="810">
        <v>1514675</v>
      </c>
    </row>
    <row r="559" spans="1:3" ht="14.4" hidden="1" x14ac:dyDescent="0.3">
      <c r="A559" s="808" t="s">
        <v>681</v>
      </c>
      <c r="B559" s="808"/>
      <c r="C559" s="809">
        <v>5450929</v>
      </c>
    </row>
    <row r="560" spans="1:3" ht="14.4" hidden="1" x14ac:dyDescent="0.3">
      <c r="A560" s="785" t="s">
        <v>1020</v>
      </c>
      <c r="B560" s="785" t="s">
        <v>544</v>
      </c>
      <c r="C560" s="810">
        <v>1262542</v>
      </c>
    </row>
    <row r="561" spans="1:3" ht="14.4" hidden="1" x14ac:dyDescent="0.3">
      <c r="A561" s="785" t="s">
        <v>1021</v>
      </c>
      <c r="B561" s="785" t="s">
        <v>544</v>
      </c>
      <c r="C561" s="810">
        <v>4328889</v>
      </c>
    </row>
    <row r="562" spans="1:3" ht="14.4" hidden="1" x14ac:dyDescent="0.3">
      <c r="A562" s="785" t="s">
        <v>1022</v>
      </c>
      <c r="B562" s="785" t="s">
        <v>544</v>
      </c>
      <c r="C562" s="810">
        <v>1411111</v>
      </c>
    </row>
    <row r="563" spans="1:3" ht="14.4" hidden="1" x14ac:dyDescent="0.3">
      <c r="A563" s="785" t="s">
        <v>1023</v>
      </c>
      <c r="B563" s="785" t="s">
        <v>544</v>
      </c>
      <c r="C563" s="810">
        <v>1821841</v>
      </c>
    </row>
    <row r="564" spans="1:3" ht="14.4" hidden="1" x14ac:dyDescent="0.3">
      <c r="A564" s="785" t="s">
        <v>1024</v>
      </c>
      <c r="B564" s="785" t="s">
        <v>544</v>
      </c>
      <c r="C564" s="810">
        <v>1620565</v>
      </c>
    </row>
    <row r="565" spans="1:3" ht="14.4" hidden="1" x14ac:dyDescent="0.3">
      <c r="A565" s="785" t="s">
        <v>1025</v>
      </c>
      <c r="B565" s="785" t="s">
        <v>544</v>
      </c>
      <c r="C565" s="810">
        <v>137148</v>
      </c>
    </row>
    <row r="566" spans="1:3" ht="14.4" hidden="1" x14ac:dyDescent="0.3">
      <c r="A566" s="785" t="s">
        <v>1026</v>
      </c>
      <c r="B566" s="785" t="s">
        <v>544</v>
      </c>
      <c r="C566" s="810">
        <v>2054619</v>
      </c>
    </row>
    <row r="567" spans="1:3" ht="14.4" hidden="1" x14ac:dyDescent="0.3">
      <c r="A567" s="785" t="s">
        <v>1027</v>
      </c>
      <c r="B567" s="785" t="s">
        <v>544</v>
      </c>
      <c r="C567" s="810">
        <v>1678642</v>
      </c>
    </row>
    <row r="568" spans="1:3" ht="14.4" hidden="1" x14ac:dyDescent="0.3">
      <c r="A568" s="785" t="s">
        <v>1028</v>
      </c>
      <c r="B568" s="785" t="s">
        <v>544</v>
      </c>
      <c r="C568" s="810">
        <v>662407</v>
      </c>
    </row>
    <row r="569" spans="1:3" ht="14.4" hidden="1" x14ac:dyDescent="0.3">
      <c r="A569" s="785" t="s">
        <v>1029</v>
      </c>
      <c r="B569" s="785" t="s">
        <v>544</v>
      </c>
      <c r="C569" s="810">
        <v>916942</v>
      </c>
    </row>
    <row r="570" spans="1:3" ht="14.4" hidden="1" x14ac:dyDescent="0.3">
      <c r="A570" s="808" t="s">
        <v>544</v>
      </c>
      <c r="B570" s="808"/>
      <c r="C570" s="809">
        <v>15894706</v>
      </c>
    </row>
    <row r="571" spans="1:3" ht="14.4" hidden="1" x14ac:dyDescent="0.3">
      <c r="A571" s="785" t="s">
        <v>1030</v>
      </c>
      <c r="B571" s="785" t="s">
        <v>742</v>
      </c>
      <c r="C571" s="810">
        <v>992104</v>
      </c>
    </row>
    <row r="572" spans="1:3" ht="14.4" hidden="1" x14ac:dyDescent="0.3">
      <c r="A572" s="785" t="s">
        <v>821</v>
      </c>
      <c r="B572" s="785" t="s">
        <v>742</v>
      </c>
      <c r="C572" s="810">
        <v>36590</v>
      </c>
    </row>
    <row r="573" spans="1:3" ht="14.4" hidden="1" x14ac:dyDescent="0.3">
      <c r="A573" s="785" t="s">
        <v>1031</v>
      </c>
      <c r="B573" s="785" t="s">
        <v>742</v>
      </c>
      <c r="C573" s="810">
        <v>1816562</v>
      </c>
    </row>
    <row r="574" spans="1:3" ht="14.4" hidden="1" x14ac:dyDescent="0.3">
      <c r="A574" s="785" t="s">
        <v>1032</v>
      </c>
      <c r="B574" s="785" t="s">
        <v>742</v>
      </c>
      <c r="C574" s="810">
        <v>2857122</v>
      </c>
    </row>
    <row r="575" spans="1:3" ht="14.4" hidden="1" x14ac:dyDescent="0.3">
      <c r="A575" s="808" t="s">
        <v>742</v>
      </c>
      <c r="B575" s="808"/>
      <c r="C575" s="809">
        <v>5702378</v>
      </c>
    </row>
    <row r="576" spans="1:3" ht="14.4" hidden="1" x14ac:dyDescent="0.3">
      <c r="A576" s="785" t="s">
        <v>1033</v>
      </c>
      <c r="B576" s="785" t="s">
        <v>589</v>
      </c>
      <c r="C576" s="810">
        <v>1461839</v>
      </c>
    </row>
    <row r="577" spans="1:3" ht="14.4" hidden="1" x14ac:dyDescent="0.3">
      <c r="A577" s="785" t="s">
        <v>1034</v>
      </c>
      <c r="B577" s="785" t="s">
        <v>589</v>
      </c>
      <c r="C577" s="810">
        <v>2409506</v>
      </c>
    </row>
    <row r="578" spans="1:3" ht="14.4" hidden="1" x14ac:dyDescent="0.3">
      <c r="A578" s="785" t="s">
        <v>1035</v>
      </c>
      <c r="B578" s="785" t="s">
        <v>589</v>
      </c>
      <c r="C578" s="810">
        <v>3457352</v>
      </c>
    </row>
    <row r="579" spans="1:3" ht="14.4" hidden="1" x14ac:dyDescent="0.3">
      <c r="A579" s="785" t="s">
        <v>1036</v>
      </c>
      <c r="B579" s="785" t="s">
        <v>589</v>
      </c>
      <c r="C579" s="810">
        <v>1147921</v>
      </c>
    </row>
    <row r="580" spans="1:3" ht="14.4" hidden="1" x14ac:dyDescent="0.3">
      <c r="A580" s="785" t="s">
        <v>1037</v>
      </c>
      <c r="B580" s="785" t="s">
        <v>589</v>
      </c>
      <c r="C580" s="810">
        <v>49388</v>
      </c>
    </row>
    <row r="581" spans="1:3" ht="14.4" hidden="1" x14ac:dyDescent="0.3">
      <c r="A581" s="785" t="s">
        <v>1038</v>
      </c>
      <c r="B581" s="785" t="s">
        <v>589</v>
      </c>
      <c r="C581" s="810">
        <v>4611364</v>
      </c>
    </row>
    <row r="582" spans="1:3" ht="14.4" hidden="1" x14ac:dyDescent="0.3">
      <c r="A582" s="785" t="s">
        <v>1039</v>
      </c>
      <c r="B582" s="785" t="s">
        <v>589</v>
      </c>
      <c r="C582" s="810">
        <v>3230</v>
      </c>
    </row>
    <row r="583" spans="1:3" ht="14.4" hidden="1" x14ac:dyDescent="0.3">
      <c r="A583" s="808" t="s">
        <v>589</v>
      </c>
      <c r="B583" s="808"/>
      <c r="C583" s="809">
        <v>13140600</v>
      </c>
    </row>
    <row r="584" spans="1:3" ht="14.4" hidden="1" x14ac:dyDescent="0.3">
      <c r="A584" s="785" t="s">
        <v>1040</v>
      </c>
      <c r="B584" s="785" t="s">
        <v>583</v>
      </c>
      <c r="C584" s="810">
        <v>2556376</v>
      </c>
    </row>
    <row r="585" spans="1:3" ht="14.4" hidden="1" x14ac:dyDescent="0.3">
      <c r="A585" s="785" t="s">
        <v>1041</v>
      </c>
      <c r="B585" s="785" t="s">
        <v>583</v>
      </c>
      <c r="C585" s="810">
        <v>903851</v>
      </c>
    </row>
    <row r="586" spans="1:3" ht="14.4" hidden="1" x14ac:dyDescent="0.3">
      <c r="A586" s="785" t="s">
        <v>1042</v>
      </c>
      <c r="B586" s="785" t="s">
        <v>583</v>
      </c>
      <c r="C586" s="810">
        <v>5393306</v>
      </c>
    </row>
    <row r="587" spans="1:3" ht="14.4" hidden="1" x14ac:dyDescent="0.3">
      <c r="A587" s="785" t="s">
        <v>953</v>
      </c>
      <c r="B587" s="785" t="s">
        <v>583</v>
      </c>
      <c r="C587" s="810">
        <v>201909</v>
      </c>
    </row>
    <row r="588" spans="1:3" ht="14.4" hidden="1" x14ac:dyDescent="0.3">
      <c r="A588" s="785" t="s">
        <v>1043</v>
      </c>
      <c r="B588" s="785" t="s">
        <v>583</v>
      </c>
      <c r="C588" s="810">
        <v>1195988</v>
      </c>
    </row>
    <row r="589" spans="1:3" ht="14.4" hidden="1" x14ac:dyDescent="0.3">
      <c r="A589" s="785" t="s">
        <v>1044</v>
      </c>
      <c r="B589" s="785" t="s">
        <v>583</v>
      </c>
      <c r="C589" s="810">
        <v>1248533</v>
      </c>
    </row>
    <row r="590" spans="1:3" ht="14.4" hidden="1" x14ac:dyDescent="0.3">
      <c r="A590" s="785" t="s">
        <v>1045</v>
      </c>
      <c r="B590" s="785" t="s">
        <v>583</v>
      </c>
      <c r="C590" s="810">
        <v>2735759</v>
      </c>
    </row>
    <row r="591" spans="1:3" ht="14.4" hidden="1" x14ac:dyDescent="0.3">
      <c r="A591" s="785" t="s">
        <v>1046</v>
      </c>
      <c r="B591" s="785" t="s">
        <v>583</v>
      </c>
      <c r="C591" s="810">
        <v>1661943</v>
      </c>
    </row>
    <row r="592" spans="1:3" ht="14.4" hidden="1" x14ac:dyDescent="0.3">
      <c r="A592" s="785" t="s">
        <v>1047</v>
      </c>
      <c r="B592" s="785" t="s">
        <v>583</v>
      </c>
      <c r="C592" s="810">
        <v>5229119</v>
      </c>
    </row>
    <row r="593" spans="1:3" ht="14.4" hidden="1" x14ac:dyDescent="0.3">
      <c r="A593" s="785" t="s">
        <v>1028</v>
      </c>
      <c r="B593" s="785" t="s">
        <v>583</v>
      </c>
      <c r="C593" s="810">
        <v>6644</v>
      </c>
    </row>
    <row r="594" spans="1:3" ht="14.4" hidden="1" x14ac:dyDescent="0.3">
      <c r="A594" s="785" t="s">
        <v>1048</v>
      </c>
      <c r="B594" s="785" t="s">
        <v>583</v>
      </c>
      <c r="C594" s="810">
        <v>4172724</v>
      </c>
    </row>
    <row r="595" spans="1:3" ht="14.4" hidden="1" x14ac:dyDescent="0.3">
      <c r="A595" s="808" t="s">
        <v>583</v>
      </c>
      <c r="B595" s="808"/>
      <c r="C595" s="809">
        <v>25306152</v>
      </c>
    </row>
    <row r="596" spans="1:3" ht="14.4" hidden="1" x14ac:dyDescent="0.3">
      <c r="A596" s="785" t="s">
        <v>1049</v>
      </c>
      <c r="B596" s="785" t="s">
        <v>607</v>
      </c>
      <c r="C596" s="810">
        <v>2570255</v>
      </c>
    </row>
    <row r="597" spans="1:3" ht="14.4" hidden="1" x14ac:dyDescent="0.3">
      <c r="A597" s="785" t="s">
        <v>1050</v>
      </c>
      <c r="B597" s="785" t="s">
        <v>607</v>
      </c>
      <c r="C597" s="810">
        <v>1327551</v>
      </c>
    </row>
    <row r="598" spans="1:3" ht="14.4" hidden="1" x14ac:dyDescent="0.3">
      <c r="A598" s="785" t="s">
        <v>1051</v>
      </c>
      <c r="B598" s="785" t="s">
        <v>607</v>
      </c>
      <c r="C598" s="810">
        <v>2043330</v>
      </c>
    </row>
    <row r="599" spans="1:3" ht="14.4" hidden="1" x14ac:dyDescent="0.3">
      <c r="A599" s="785" t="s">
        <v>1052</v>
      </c>
      <c r="B599" s="785" t="s">
        <v>607</v>
      </c>
      <c r="C599" s="810">
        <v>1266574</v>
      </c>
    </row>
    <row r="600" spans="1:3" ht="14.4" hidden="1" x14ac:dyDescent="0.3">
      <c r="A600" s="785" t="s">
        <v>1053</v>
      </c>
      <c r="B600" s="785" t="s">
        <v>607</v>
      </c>
      <c r="C600" s="810">
        <v>1472063</v>
      </c>
    </row>
    <row r="601" spans="1:3" ht="14.4" hidden="1" x14ac:dyDescent="0.3">
      <c r="A601" s="785" t="s">
        <v>1054</v>
      </c>
      <c r="B601" s="785" t="s">
        <v>607</v>
      </c>
      <c r="C601" s="810">
        <v>3515965</v>
      </c>
    </row>
    <row r="602" spans="1:3" ht="14.4" hidden="1" x14ac:dyDescent="0.3">
      <c r="A602" s="785" t="s">
        <v>1055</v>
      </c>
      <c r="B602" s="785" t="s">
        <v>607</v>
      </c>
      <c r="C602" s="810">
        <v>3550786</v>
      </c>
    </row>
    <row r="603" spans="1:3" ht="14.4" hidden="1" x14ac:dyDescent="0.3">
      <c r="A603" s="785" t="s">
        <v>1056</v>
      </c>
      <c r="B603" s="785" t="s">
        <v>607</v>
      </c>
      <c r="C603" s="810">
        <v>1935936</v>
      </c>
    </row>
    <row r="604" spans="1:3" ht="14.4" hidden="1" x14ac:dyDescent="0.3">
      <c r="A604" s="785" t="s">
        <v>1057</v>
      </c>
      <c r="B604" s="785" t="s">
        <v>607</v>
      </c>
      <c r="C604" s="810">
        <v>1410784</v>
      </c>
    </row>
    <row r="605" spans="1:3" ht="14.4" hidden="1" x14ac:dyDescent="0.3">
      <c r="A605" s="808" t="s">
        <v>607</v>
      </c>
      <c r="B605" s="808"/>
      <c r="C605" s="809">
        <v>19093244</v>
      </c>
    </row>
    <row r="606" spans="1:3" ht="14.4" hidden="1" x14ac:dyDescent="0.3">
      <c r="A606" s="785" t="s">
        <v>1058</v>
      </c>
      <c r="B606" s="785" t="s">
        <v>536</v>
      </c>
      <c r="C606" s="810">
        <v>3668581</v>
      </c>
    </row>
    <row r="607" spans="1:3" ht="14.4" hidden="1" x14ac:dyDescent="0.3">
      <c r="A607" s="785" t="s">
        <v>1059</v>
      </c>
      <c r="B607" s="785" t="s">
        <v>536</v>
      </c>
      <c r="C607" s="810">
        <v>928826</v>
      </c>
    </row>
    <row r="608" spans="1:3" ht="14.4" hidden="1" x14ac:dyDescent="0.3">
      <c r="A608" s="785" t="s">
        <v>1060</v>
      </c>
      <c r="B608" s="785" t="s">
        <v>536</v>
      </c>
      <c r="C608" s="810">
        <v>1206375</v>
      </c>
    </row>
    <row r="609" spans="1:3" ht="14.4" hidden="1" x14ac:dyDescent="0.3">
      <c r="A609" s="785" t="s">
        <v>1061</v>
      </c>
      <c r="B609" s="785" t="s">
        <v>536</v>
      </c>
      <c r="C609" s="810">
        <v>1643589</v>
      </c>
    </row>
    <row r="610" spans="1:3" ht="14.4" hidden="1" x14ac:dyDescent="0.3">
      <c r="A610" s="785" t="s">
        <v>1062</v>
      </c>
      <c r="B610" s="785" t="s">
        <v>536</v>
      </c>
      <c r="C610" s="810">
        <v>2942987</v>
      </c>
    </row>
    <row r="611" spans="1:3" ht="14.4" hidden="1" x14ac:dyDescent="0.3">
      <c r="A611" s="785" t="s">
        <v>1063</v>
      </c>
      <c r="B611" s="785" t="s">
        <v>536</v>
      </c>
      <c r="C611" s="810">
        <v>3375978</v>
      </c>
    </row>
    <row r="612" spans="1:3" ht="14.4" hidden="1" x14ac:dyDescent="0.3">
      <c r="A612" s="785" t="s">
        <v>1064</v>
      </c>
      <c r="B612" s="785" t="s">
        <v>536</v>
      </c>
      <c r="C612" s="810">
        <v>1227527</v>
      </c>
    </row>
    <row r="613" spans="1:3" ht="14.4" hidden="1" x14ac:dyDescent="0.3">
      <c r="A613" s="808" t="s">
        <v>536</v>
      </c>
      <c r="B613" s="808"/>
      <c r="C613" s="809">
        <v>14993863</v>
      </c>
    </row>
    <row r="614" spans="1:3" ht="14.4" hidden="1" x14ac:dyDescent="0.3">
      <c r="A614" s="785" t="s">
        <v>1065</v>
      </c>
      <c r="B614" s="785" t="s">
        <v>1066</v>
      </c>
      <c r="C614" s="810">
        <v>1670264</v>
      </c>
    </row>
    <row r="615" spans="1:3" ht="14.4" hidden="1" x14ac:dyDescent="0.3">
      <c r="A615" s="785" t="s">
        <v>932</v>
      </c>
      <c r="B615" s="785" t="s">
        <v>1066</v>
      </c>
      <c r="C615" s="810">
        <v>181313</v>
      </c>
    </row>
    <row r="616" spans="1:3" ht="14.4" hidden="1" x14ac:dyDescent="0.3">
      <c r="A616" s="785" t="s">
        <v>1067</v>
      </c>
      <c r="B616" s="785" t="s">
        <v>1066</v>
      </c>
      <c r="C616" s="810">
        <v>4709726</v>
      </c>
    </row>
    <row r="617" spans="1:3" ht="14.4" hidden="1" x14ac:dyDescent="0.3">
      <c r="A617" s="808" t="s">
        <v>1066</v>
      </c>
      <c r="B617" s="808"/>
      <c r="C617" s="809">
        <v>6561303</v>
      </c>
    </row>
    <row r="618" spans="1:3" ht="14.4" hidden="1" x14ac:dyDescent="0.3">
      <c r="A618" s="785" t="s">
        <v>1068</v>
      </c>
      <c r="B618" s="785" t="s">
        <v>568</v>
      </c>
      <c r="C618" s="810">
        <v>626675</v>
      </c>
    </row>
    <row r="619" spans="1:3" ht="14.4" hidden="1" x14ac:dyDescent="0.3">
      <c r="A619" s="785" t="s">
        <v>1069</v>
      </c>
      <c r="B619" s="785" t="s">
        <v>568</v>
      </c>
      <c r="C619" s="810">
        <v>1348067</v>
      </c>
    </row>
    <row r="620" spans="1:3" ht="14.4" hidden="1" x14ac:dyDescent="0.3">
      <c r="A620" s="785" t="s">
        <v>1070</v>
      </c>
      <c r="B620" s="785" t="s">
        <v>568</v>
      </c>
      <c r="C620" s="810">
        <v>1919109</v>
      </c>
    </row>
    <row r="621" spans="1:3" ht="14.4" hidden="1" x14ac:dyDescent="0.3">
      <c r="A621" s="785" t="s">
        <v>1071</v>
      </c>
      <c r="B621" s="785" t="s">
        <v>568</v>
      </c>
      <c r="C621" s="810">
        <v>2300932</v>
      </c>
    </row>
    <row r="622" spans="1:3" ht="14.4" hidden="1" x14ac:dyDescent="0.3">
      <c r="A622" s="785" t="s">
        <v>1072</v>
      </c>
      <c r="B622" s="785" t="s">
        <v>568</v>
      </c>
      <c r="C622" s="810">
        <v>1664516</v>
      </c>
    </row>
    <row r="623" spans="1:3" ht="14.4" hidden="1" x14ac:dyDescent="0.3">
      <c r="A623" s="785" t="s">
        <v>1073</v>
      </c>
      <c r="B623" s="785" t="s">
        <v>568</v>
      </c>
      <c r="C623" s="810">
        <v>1656727</v>
      </c>
    </row>
    <row r="624" spans="1:3" ht="14.4" hidden="1" x14ac:dyDescent="0.3">
      <c r="A624" s="785" t="s">
        <v>1074</v>
      </c>
      <c r="B624" s="785" t="s">
        <v>568</v>
      </c>
      <c r="C624" s="810">
        <v>4198994</v>
      </c>
    </row>
    <row r="625" spans="1:3" ht="14.4" hidden="1" x14ac:dyDescent="0.3">
      <c r="A625" s="785" t="s">
        <v>1075</v>
      </c>
      <c r="B625" s="785" t="s">
        <v>568</v>
      </c>
      <c r="C625" s="810">
        <v>1348554</v>
      </c>
    </row>
    <row r="626" spans="1:3" ht="14.4" hidden="1" x14ac:dyDescent="0.3">
      <c r="A626" s="808" t="s">
        <v>568</v>
      </c>
      <c r="B626" s="808"/>
      <c r="C626" s="809">
        <v>15063574</v>
      </c>
    </row>
    <row r="627" spans="1:3" ht="14.4" hidden="1" x14ac:dyDescent="0.3">
      <c r="A627" s="785" t="s">
        <v>1076</v>
      </c>
      <c r="B627" s="785" t="s">
        <v>527</v>
      </c>
      <c r="C627" s="810">
        <v>2456671</v>
      </c>
    </row>
    <row r="628" spans="1:3" ht="14.4" hidden="1" x14ac:dyDescent="0.3">
      <c r="A628" s="785" t="s">
        <v>1077</v>
      </c>
      <c r="B628" s="785" t="s">
        <v>527</v>
      </c>
      <c r="C628" s="810">
        <v>2842650</v>
      </c>
    </row>
    <row r="629" spans="1:3" ht="14.4" hidden="1" x14ac:dyDescent="0.3">
      <c r="A629" s="785" t="s">
        <v>1078</v>
      </c>
      <c r="B629" s="785" t="s">
        <v>527</v>
      </c>
      <c r="C629" s="810">
        <v>1332949</v>
      </c>
    </row>
    <row r="630" spans="1:3" ht="14.4" hidden="1" x14ac:dyDescent="0.3">
      <c r="A630" s="785" t="s">
        <v>1079</v>
      </c>
      <c r="B630" s="785" t="s">
        <v>527</v>
      </c>
      <c r="C630" s="810">
        <v>3858753</v>
      </c>
    </row>
    <row r="631" spans="1:3" ht="14.4" hidden="1" x14ac:dyDescent="0.3">
      <c r="A631" s="785" t="s">
        <v>1080</v>
      </c>
      <c r="B631" s="785" t="s">
        <v>527</v>
      </c>
      <c r="C631" s="810">
        <v>2744209</v>
      </c>
    </row>
    <row r="632" spans="1:3" ht="14.4" hidden="1" x14ac:dyDescent="0.3">
      <c r="A632" s="785" t="s">
        <v>1081</v>
      </c>
      <c r="B632" s="785" t="s">
        <v>527</v>
      </c>
      <c r="C632" s="810">
        <v>1079655</v>
      </c>
    </row>
    <row r="633" spans="1:3" ht="14.4" hidden="1" x14ac:dyDescent="0.3">
      <c r="A633" s="785" t="s">
        <v>1082</v>
      </c>
      <c r="B633" s="785" t="s">
        <v>527</v>
      </c>
      <c r="C633" s="810">
        <v>1892086</v>
      </c>
    </row>
    <row r="634" spans="1:3" ht="14.4" hidden="1" x14ac:dyDescent="0.3">
      <c r="A634" s="785" t="s">
        <v>1083</v>
      </c>
      <c r="B634" s="785" t="s">
        <v>527</v>
      </c>
      <c r="C634" s="810">
        <v>2972451</v>
      </c>
    </row>
    <row r="635" spans="1:3" ht="14.4" hidden="1" x14ac:dyDescent="0.3">
      <c r="A635" s="785" t="s">
        <v>1084</v>
      </c>
      <c r="B635" s="785" t="s">
        <v>527</v>
      </c>
      <c r="C635" s="810">
        <v>2052430</v>
      </c>
    </row>
    <row r="636" spans="1:3" ht="14.4" hidden="1" x14ac:dyDescent="0.3">
      <c r="A636" s="785" t="s">
        <v>1085</v>
      </c>
      <c r="B636" s="785" t="s">
        <v>527</v>
      </c>
      <c r="C636" s="810">
        <v>3133633</v>
      </c>
    </row>
    <row r="637" spans="1:3" ht="14.4" hidden="1" x14ac:dyDescent="0.3">
      <c r="A637" s="785" t="s">
        <v>1086</v>
      </c>
      <c r="B637" s="785" t="s">
        <v>527</v>
      </c>
      <c r="C637" s="810">
        <v>2366537</v>
      </c>
    </row>
    <row r="638" spans="1:3" ht="14.4" hidden="1" x14ac:dyDescent="0.3">
      <c r="A638" s="785" t="s">
        <v>1087</v>
      </c>
      <c r="B638" s="785" t="s">
        <v>527</v>
      </c>
      <c r="C638" s="810">
        <v>2097731</v>
      </c>
    </row>
    <row r="639" spans="1:3" ht="14.4" hidden="1" x14ac:dyDescent="0.3">
      <c r="A639" s="785" t="s">
        <v>1088</v>
      </c>
      <c r="B639" s="785" t="s">
        <v>527</v>
      </c>
      <c r="C639" s="810">
        <v>4855142</v>
      </c>
    </row>
    <row r="640" spans="1:3" ht="14.4" hidden="1" x14ac:dyDescent="0.3">
      <c r="A640" s="785" t="s">
        <v>1089</v>
      </c>
      <c r="B640" s="785" t="s">
        <v>527</v>
      </c>
      <c r="C640" s="810">
        <v>2341083</v>
      </c>
    </row>
    <row r="641" spans="1:3" ht="14.4" hidden="1" x14ac:dyDescent="0.3">
      <c r="A641" s="785" t="s">
        <v>1090</v>
      </c>
      <c r="B641" s="785" t="s">
        <v>527</v>
      </c>
      <c r="C641" s="810">
        <v>2413739</v>
      </c>
    </row>
    <row r="642" spans="1:3" ht="14.4" hidden="1" x14ac:dyDescent="0.3">
      <c r="A642" s="785" t="s">
        <v>824</v>
      </c>
      <c r="B642" s="785" t="s">
        <v>527</v>
      </c>
      <c r="C642" s="810">
        <v>956898</v>
      </c>
    </row>
    <row r="643" spans="1:3" ht="14.4" hidden="1" x14ac:dyDescent="0.3">
      <c r="A643" s="785" t="s">
        <v>1091</v>
      </c>
      <c r="B643" s="785" t="s">
        <v>527</v>
      </c>
      <c r="C643" s="810">
        <v>2523956</v>
      </c>
    </row>
    <row r="644" spans="1:3" ht="14.4" hidden="1" x14ac:dyDescent="0.3">
      <c r="A644" s="785" t="s">
        <v>1092</v>
      </c>
      <c r="B644" s="785" t="s">
        <v>527</v>
      </c>
      <c r="C644" s="810">
        <v>1402684</v>
      </c>
    </row>
    <row r="645" spans="1:3" ht="14.4" hidden="1" x14ac:dyDescent="0.3">
      <c r="A645" s="785" t="s">
        <v>1093</v>
      </c>
      <c r="B645" s="785" t="s">
        <v>527</v>
      </c>
      <c r="C645" s="810">
        <v>4293281</v>
      </c>
    </row>
    <row r="646" spans="1:3" ht="14.4" hidden="1" x14ac:dyDescent="0.3">
      <c r="A646" s="785" t="s">
        <v>1094</v>
      </c>
      <c r="B646" s="785" t="s">
        <v>527</v>
      </c>
      <c r="C646" s="810">
        <v>2023546</v>
      </c>
    </row>
    <row r="647" spans="1:3" ht="14.4" hidden="1" x14ac:dyDescent="0.3">
      <c r="A647" s="808" t="s">
        <v>527</v>
      </c>
      <c r="B647" s="808"/>
      <c r="C647" s="809">
        <v>49640084</v>
      </c>
    </row>
    <row r="648" spans="1:3" ht="14.4" hidden="1" x14ac:dyDescent="0.3">
      <c r="A648" s="785" t="s">
        <v>1095</v>
      </c>
      <c r="B648" s="785" t="s">
        <v>601</v>
      </c>
      <c r="C648" s="810">
        <v>4119223</v>
      </c>
    </row>
    <row r="649" spans="1:3" ht="14.4" hidden="1" x14ac:dyDescent="0.3">
      <c r="A649" s="785" t="s">
        <v>1096</v>
      </c>
      <c r="B649" s="785" t="s">
        <v>601</v>
      </c>
      <c r="C649" s="810">
        <v>2893430</v>
      </c>
    </row>
    <row r="650" spans="1:3" ht="14.4" hidden="1" x14ac:dyDescent="0.3">
      <c r="A650" s="808" t="s">
        <v>601</v>
      </c>
      <c r="B650" s="808"/>
      <c r="C650" s="809">
        <v>7012653</v>
      </c>
    </row>
    <row r="651" spans="1:3" ht="14.4" hidden="1" x14ac:dyDescent="0.3">
      <c r="A651" s="785" t="s">
        <v>1097</v>
      </c>
      <c r="B651" s="785" t="s">
        <v>1098</v>
      </c>
      <c r="C651" s="810">
        <v>4380249</v>
      </c>
    </row>
    <row r="652" spans="1:3" ht="14.4" hidden="1" x14ac:dyDescent="0.3">
      <c r="A652" s="808" t="s">
        <v>1098</v>
      </c>
      <c r="B652" s="808"/>
      <c r="C652" s="809">
        <v>4380249</v>
      </c>
    </row>
    <row r="653" spans="1:3" ht="14.4" hidden="1" x14ac:dyDescent="0.3">
      <c r="A653" s="785" t="s">
        <v>1099</v>
      </c>
      <c r="B653" s="785" t="s">
        <v>1100</v>
      </c>
      <c r="C653" s="810">
        <v>1759209</v>
      </c>
    </row>
    <row r="654" spans="1:3" ht="14.4" hidden="1" x14ac:dyDescent="0.3">
      <c r="A654" s="808" t="s">
        <v>1100</v>
      </c>
      <c r="B654" s="808"/>
      <c r="C654" s="809">
        <v>1759209</v>
      </c>
    </row>
    <row r="655" spans="1:3" ht="14.4" hidden="1" x14ac:dyDescent="0.3">
      <c r="A655" s="785" t="s">
        <v>1101</v>
      </c>
      <c r="B655" s="785" t="s">
        <v>597</v>
      </c>
      <c r="C655" s="810">
        <v>4103202</v>
      </c>
    </row>
    <row r="656" spans="1:3" ht="14.4" hidden="1" x14ac:dyDescent="0.3">
      <c r="A656" s="785" t="s">
        <v>1068</v>
      </c>
      <c r="B656" s="785" t="s">
        <v>597</v>
      </c>
      <c r="C656" s="810">
        <v>566470</v>
      </c>
    </row>
    <row r="657" spans="1:3" ht="14.4" hidden="1" x14ac:dyDescent="0.3">
      <c r="A657" s="785" t="s">
        <v>1102</v>
      </c>
      <c r="B657" s="785" t="s">
        <v>597</v>
      </c>
      <c r="C657" s="810">
        <v>3519374</v>
      </c>
    </row>
    <row r="658" spans="1:3" ht="14.4" hidden="1" x14ac:dyDescent="0.3">
      <c r="A658" s="785" t="s">
        <v>1103</v>
      </c>
      <c r="B658" s="785" t="s">
        <v>597</v>
      </c>
      <c r="C658" s="810">
        <v>4298070</v>
      </c>
    </row>
    <row r="659" spans="1:3" ht="14.4" hidden="1" x14ac:dyDescent="0.3">
      <c r="A659" s="785" t="s">
        <v>953</v>
      </c>
      <c r="B659" s="785" t="s">
        <v>597</v>
      </c>
      <c r="C659" s="810">
        <v>2557</v>
      </c>
    </row>
    <row r="660" spans="1:3" ht="14.4" hidden="1" x14ac:dyDescent="0.3">
      <c r="A660" s="785" t="s">
        <v>1104</v>
      </c>
      <c r="B660" s="785" t="s">
        <v>597</v>
      </c>
      <c r="C660" s="810">
        <v>3176243</v>
      </c>
    </row>
    <row r="661" spans="1:3" ht="14.4" hidden="1" x14ac:dyDescent="0.3">
      <c r="A661" s="785" t="s">
        <v>1072</v>
      </c>
      <c r="B661" s="785" t="s">
        <v>597</v>
      </c>
      <c r="C661" s="810">
        <v>6150</v>
      </c>
    </row>
    <row r="662" spans="1:3" ht="14.4" hidden="1" x14ac:dyDescent="0.3">
      <c r="A662" s="785" t="s">
        <v>1105</v>
      </c>
      <c r="B662" s="785" t="s">
        <v>597</v>
      </c>
      <c r="C662" s="810">
        <v>2249697</v>
      </c>
    </row>
    <row r="663" spans="1:3" ht="14.4" hidden="1" x14ac:dyDescent="0.3">
      <c r="A663" s="785" t="s">
        <v>1106</v>
      </c>
      <c r="B663" s="785" t="s">
        <v>597</v>
      </c>
      <c r="C663" s="810">
        <v>1097723</v>
      </c>
    </row>
    <row r="664" spans="1:3" ht="14.4" hidden="1" x14ac:dyDescent="0.3">
      <c r="A664" s="785" t="s">
        <v>1107</v>
      </c>
      <c r="B664" s="785" t="s">
        <v>597</v>
      </c>
      <c r="C664" s="810">
        <v>3017013</v>
      </c>
    </row>
    <row r="665" spans="1:3" ht="14.4" hidden="1" x14ac:dyDescent="0.3">
      <c r="A665" s="785" t="s">
        <v>1108</v>
      </c>
      <c r="B665" s="785" t="s">
        <v>597</v>
      </c>
      <c r="C665" s="810">
        <v>1698932</v>
      </c>
    </row>
    <row r="666" spans="1:3" ht="14.4" hidden="1" x14ac:dyDescent="0.3">
      <c r="A666" s="808" t="s">
        <v>597</v>
      </c>
      <c r="B666" s="808"/>
      <c r="C666" s="809">
        <v>23735431</v>
      </c>
    </row>
    <row r="667" spans="1:3" ht="14.4" hidden="1" x14ac:dyDescent="0.3">
      <c r="A667" s="785" t="s">
        <v>1109</v>
      </c>
      <c r="B667" s="785" t="s">
        <v>590</v>
      </c>
      <c r="C667" s="810">
        <v>5020743</v>
      </c>
    </row>
    <row r="668" spans="1:3" ht="14.4" hidden="1" x14ac:dyDescent="0.3">
      <c r="A668" s="785" t="s">
        <v>904</v>
      </c>
      <c r="B668" s="785" t="s">
        <v>590</v>
      </c>
      <c r="C668" s="810">
        <v>429889</v>
      </c>
    </row>
    <row r="669" spans="1:3" ht="14.4" hidden="1" x14ac:dyDescent="0.3">
      <c r="A669" s="785" t="s">
        <v>1037</v>
      </c>
      <c r="B669" s="785" t="s">
        <v>590</v>
      </c>
      <c r="C669" s="810">
        <v>1407681</v>
      </c>
    </row>
    <row r="670" spans="1:3" ht="14.4" hidden="1" x14ac:dyDescent="0.3">
      <c r="A670" s="785" t="s">
        <v>1110</v>
      </c>
      <c r="B670" s="785" t="s">
        <v>590</v>
      </c>
      <c r="C670" s="810">
        <v>3482647</v>
      </c>
    </row>
    <row r="671" spans="1:3" ht="14.4" hidden="1" x14ac:dyDescent="0.3">
      <c r="A671" s="785" t="s">
        <v>1111</v>
      </c>
      <c r="B671" s="785" t="s">
        <v>590</v>
      </c>
      <c r="C671" s="810">
        <v>2944829</v>
      </c>
    </row>
    <row r="672" spans="1:3" ht="14.4" hidden="1" x14ac:dyDescent="0.3">
      <c r="A672" s="785" t="s">
        <v>1039</v>
      </c>
      <c r="B672" s="785" t="s">
        <v>590</v>
      </c>
      <c r="C672" s="810">
        <v>1554432</v>
      </c>
    </row>
    <row r="673" spans="1:3" ht="14.4" hidden="1" x14ac:dyDescent="0.3">
      <c r="A673" s="785" t="s">
        <v>1112</v>
      </c>
      <c r="B673" s="785" t="s">
        <v>590</v>
      </c>
      <c r="C673" s="810">
        <v>3741996</v>
      </c>
    </row>
    <row r="674" spans="1:3" ht="14.4" hidden="1" x14ac:dyDescent="0.3">
      <c r="A674" s="785" t="s">
        <v>1113</v>
      </c>
      <c r="B674" s="785" t="s">
        <v>590</v>
      </c>
      <c r="C674" s="810">
        <v>3555377</v>
      </c>
    </row>
    <row r="675" spans="1:3" ht="14.4" hidden="1" x14ac:dyDescent="0.3">
      <c r="A675" s="808" t="s">
        <v>590</v>
      </c>
      <c r="B675" s="808"/>
      <c r="C675" s="809">
        <v>22137594</v>
      </c>
    </row>
    <row r="676" spans="1:3" ht="14.4" hidden="1" x14ac:dyDescent="0.3">
      <c r="A676" s="785" t="s">
        <v>1114</v>
      </c>
      <c r="B676" s="785" t="s">
        <v>702</v>
      </c>
      <c r="C676" s="810">
        <v>986742</v>
      </c>
    </row>
    <row r="677" spans="1:3" ht="14.4" hidden="1" x14ac:dyDescent="0.3">
      <c r="A677" s="785" t="s">
        <v>1115</v>
      </c>
      <c r="B677" s="785" t="s">
        <v>702</v>
      </c>
      <c r="C677" s="810">
        <v>4153201</v>
      </c>
    </row>
    <row r="678" spans="1:3" ht="14.4" hidden="1" x14ac:dyDescent="0.3">
      <c r="A678" s="785" t="s">
        <v>953</v>
      </c>
      <c r="B678" s="785" t="s">
        <v>702</v>
      </c>
      <c r="C678" s="810">
        <v>1573225</v>
      </c>
    </row>
    <row r="679" spans="1:3" ht="14.4" hidden="1" x14ac:dyDescent="0.3">
      <c r="A679" s="785" t="s">
        <v>1116</v>
      </c>
      <c r="B679" s="785" t="s">
        <v>702</v>
      </c>
      <c r="C679" s="810">
        <v>3625864</v>
      </c>
    </row>
    <row r="680" spans="1:3" ht="14.4" hidden="1" x14ac:dyDescent="0.3">
      <c r="A680" s="785" t="s">
        <v>1025</v>
      </c>
      <c r="B680" s="785" t="s">
        <v>702</v>
      </c>
      <c r="C680" s="810">
        <v>1071488</v>
      </c>
    </row>
    <row r="681" spans="1:3" ht="14.4" hidden="1" x14ac:dyDescent="0.3">
      <c r="A681" s="785" t="s">
        <v>1028</v>
      </c>
      <c r="B681" s="785" t="s">
        <v>702</v>
      </c>
      <c r="C681" s="810">
        <v>522387</v>
      </c>
    </row>
    <row r="682" spans="1:3" ht="14.4" hidden="1" x14ac:dyDescent="0.3">
      <c r="A682" s="785" t="s">
        <v>1029</v>
      </c>
      <c r="B682" s="785" t="s">
        <v>702</v>
      </c>
      <c r="C682" s="810">
        <v>1193724</v>
      </c>
    </row>
    <row r="683" spans="1:3" ht="14.4" hidden="1" x14ac:dyDescent="0.3">
      <c r="A683" s="808" t="s">
        <v>702</v>
      </c>
      <c r="B683" s="808"/>
      <c r="C683" s="809">
        <v>13126631</v>
      </c>
    </row>
    <row r="684" spans="1:3" ht="14.4" hidden="1" x14ac:dyDescent="0.3">
      <c r="A684" s="785" t="s">
        <v>909</v>
      </c>
      <c r="B684" s="785" t="s">
        <v>572</v>
      </c>
      <c r="C684" s="810">
        <v>909188</v>
      </c>
    </row>
    <row r="685" spans="1:3" ht="14.4" hidden="1" x14ac:dyDescent="0.3">
      <c r="A685" s="785" t="s">
        <v>972</v>
      </c>
      <c r="B685" s="785" t="s">
        <v>572</v>
      </c>
      <c r="C685" s="810">
        <v>998083</v>
      </c>
    </row>
    <row r="686" spans="1:3" ht="14.4" hidden="1" x14ac:dyDescent="0.3">
      <c r="A686" s="785" t="s">
        <v>1117</v>
      </c>
      <c r="B686" s="785" t="s">
        <v>572</v>
      </c>
      <c r="C686" s="810">
        <v>3027074</v>
      </c>
    </row>
    <row r="687" spans="1:3" ht="14.4" hidden="1" x14ac:dyDescent="0.3">
      <c r="A687" s="785" t="s">
        <v>1118</v>
      </c>
      <c r="B687" s="785" t="s">
        <v>572</v>
      </c>
      <c r="C687" s="810">
        <v>1168470</v>
      </c>
    </row>
    <row r="688" spans="1:3" ht="14.4" hidden="1" x14ac:dyDescent="0.3">
      <c r="A688" s="785" t="s">
        <v>1119</v>
      </c>
      <c r="B688" s="785" t="s">
        <v>572</v>
      </c>
      <c r="C688" s="810">
        <v>1456943</v>
      </c>
    </row>
    <row r="689" spans="1:5" ht="14.4" hidden="1" x14ac:dyDescent="0.3">
      <c r="A689" s="785" t="s">
        <v>1120</v>
      </c>
      <c r="B689" s="785" t="s">
        <v>572</v>
      </c>
      <c r="C689" s="810">
        <v>3730263</v>
      </c>
    </row>
    <row r="690" spans="1:5" ht="14.4" hidden="1" x14ac:dyDescent="0.3">
      <c r="A690" s="785" t="s">
        <v>974</v>
      </c>
      <c r="B690" s="785" t="s">
        <v>572</v>
      </c>
      <c r="C690" s="810">
        <v>3006697</v>
      </c>
    </row>
    <row r="691" spans="1:5" ht="14.4" hidden="1" x14ac:dyDescent="0.3">
      <c r="A691" s="785" t="s">
        <v>1121</v>
      </c>
      <c r="B691" s="785" t="s">
        <v>572</v>
      </c>
      <c r="C691" s="810">
        <v>2683806</v>
      </c>
    </row>
    <row r="692" spans="1:5" ht="14.4" hidden="1" x14ac:dyDescent="0.3">
      <c r="A692" s="785" t="s">
        <v>1122</v>
      </c>
      <c r="B692" s="785" t="s">
        <v>572</v>
      </c>
      <c r="C692" s="810">
        <v>3625007</v>
      </c>
    </row>
    <row r="693" spans="1:5" ht="14.4" hidden="1" x14ac:dyDescent="0.3">
      <c r="A693" s="785" t="s">
        <v>1123</v>
      </c>
      <c r="B693" s="785" t="s">
        <v>572</v>
      </c>
      <c r="C693" s="810">
        <v>2557538</v>
      </c>
    </row>
    <row r="694" spans="1:5" ht="14.4" hidden="1" x14ac:dyDescent="0.3">
      <c r="A694" s="785" t="s">
        <v>1124</v>
      </c>
      <c r="B694" s="785" t="s">
        <v>572</v>
      </c>
      <c r="C694" s="810">
        <v>1444476</v>
      </c>
    </row>
    <row r="695" spans="1:5" ht="14.4" hidden="1" x14ac:dyDescent="0.3">
      <c r="A695" s="808" t="s">
        <v>572</v>
      </c>
      <c r="B695" s="808"/>
      <c r="C695" s="809">
        <v>24607545</v>
      </c>
    </row>
    <row r="696" spans="1:5" ht="14.4" hidden="1" x14ac:dyDescent="0.3">
      <c r="A696" s="785" t="s">
        <v>1125</v>
      </c>
      <c r="B696" s="785" t="s">
        <v>1126</v>
      </c>
      <c r="C696" s="810">
        <v>1513625</v>
      </c>
    </row>
    <row r="697" spans="1:5" ht="14.4" hidden="1" x14ac:dyDescent="0.3">
      <c r="A697" s="785" t="s">
        <v>1127</v>
      </c>
      <c r="B697" s="785" t="s">
        <v>1126</v>
      </c>
      <c r="C697" s="810">
        <v>1733151</v>
      </c>
    </row>
    <row r="698" spans="1:5" ht="14.4" hidden="1" x14ac:dyDescent="0.3">
      <c r="A698" s="808" t="s">
        <v>1126</v>
      </c>
      <c r="B698" s="808"/>
      <c r="C698" s="809">
        <v>3246776</v>
      </c>
    </row>
    <row r="699" spans="1:5" ht="14.4" hidden="1" x14ac:dyDescent="0.3">
      <c r="A699" s="819" t="s">
        <v>616</v>
      </c>
      <c r="B699" s="820"/>
      <c r="C699" s="821">
        <f>SUM(C303,C306,C315,C321,C357,C365,C369,C372,C388,C401,C403,C406,C413,C425,C436,C443,C448,C453,C461,C466,C472,C477,C492,C499,C502,C509,C515,C518,C521,C525,C527,C532,C545,C555,C559,C570,C575,C583,C595,C605,C613,C617,C626,C647,C650,C652,C654,C666,C675,C683,C695,C698)</f>
        <v>899882095</v>
      </c>
      <c r="D699" s="817"/>
      <c r="E699" s="822"/>
    </row>
    <row r="700" spans="1:5" ht="49.5" hidden="1" customHeight="1" x14ac:dyDescent="0.3">
      <c r="A700" s="1197" t="s">
        <v>801</v>
      </c>
      <c r="B700" s="1198"/>
      <c r="C700" s="1198"/>
    </row>
    <row r="701" spans="1:5" ht="50.25" customHeight="1" x14ac:dyDescent="0.3"/>
  </sheetData>
  <mergeCells count="12">
    <mergeCell ref="A700:C700"/>
    <mergeCell ref="A1:C1"/>
    <mergeCell ref="A2:C2"/>
    <mergeCell ref="A4:C4"/>
    <mergeCell ref="A5:C5"/>
    <mergeCell ref="A6:C6"/>
    <mergeCell ref="A7:C7"/>
    <mergeCell ref="A8:B8"/>
    <mergeCell ref="A20:C20"/>
    <mergeCell ref="A96:C96"/>
    <mergeCell ref="A293:C293"/>
    <mergeCell ref="A294:C294"/>
  </mergeCells>
  <pageMargins left="0.7" right="0.7" top="0.75" bottom="0.75" header="0.3" footer="0.3"/>
  <pageSetup scale="71"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4C45B-0536-4BDF-ADFD-3B78C710FF93}">
  <dimension ref="A1:Q107"/>
  <sheetViews>
    <sheetView workbookViewId="0">
      <pane ySplit="6" topLeftCell="A51" activePane="bottomLeft" state="frozen"/>
      <selection pane="bottomLeft" activeCell="D64" sqref="D64"/>
    </sheetView>
  </sheetViews>
  <sheetFormatPr defaultRowHeight="14.4" x14ac:dyDescent="0.3"/>
  <cols>
    <col min="1" max="1" width="10.88671875" style="82" customWidth="1"/>
    <col min="2" max="2" width="5.44140625" style="83" customWidth="1"/>
    <col min="3" max="3" width="39.33203125" style="83" customWidth="1"/>
    <col min="4" max="4" width="17.88671875" style="87" customWidth="1"/>
    <col min="5" max="5" width="2.33203125" style="83" customWidth="1"/>
    <col min="6" max="6" width="17.88671875" style="83" customWidth="1"/>
    <col min="7" max="7" width="2.33203125" style="83" customWidth="1"/>
    <col min="8" max="8" width="17.88671875" style="85" customWidth="1"/>
    <col min="9" max="9" width="2.33203125" style="83" customWidth="1"/>
    <col min="10" max="10" width="17.88671875" style="85" customWidth="1"/>
    <col min="11" max="11" width="2.33203125" style="85" customWidth="1"/>
    <col min="12" max="12" width="2.33203125" style="83" customWidth="1"/>
    <col min="13" max="14" width="17.88671875" style="85" customWidth="1"/>
    <col min="15" max="15" width="2" style="83" customWidth="1"/>
    <col min="16" max="16" width="9.88671875" style="83" bestFit="1" customWidth="1"/>
    <col min="17" max="17" width="9.109375" style="83"/>
  </cols>
  <sheetData>
    <row r="1" spans="1:17" ht="15" customHeight="1" x14ac:dyDescent="0.55000000000000004">
      <c r="A1" s="86"/>
      <c r="F1" s="103"/>
      <c r="G1" s="103"/>
      <c r="H1" s="88"/>
      <c r="L1" s="89"/>
    </row>
    <row r="2" spans="1:17" ht="15" customHeight="1" x14ac:dyDescent="0.55000000000000004">
      <c r="A2" s="90"/>
      <c r="F2" s="103"/>
      <c r="G2" s="103"/>
      <c r="H2" s="103"/>
      <c r="L2" s="104"/>
    </row>
    <row r="3" spans="1:17" x14ac:dyDescent="0.3">
      <c r="A3" s="86"/>
      <c r="B3" s="90"/>
      <c r="L3" s="104"/>
    </row>
    <row r="4" spans="1:17" ht="15" thickBot="1" x14ac:dyDescent="0.35">
      <c r="A4" s="86"/>
      <c r="B4" s="90"/>
      <c r="D4" s="91"/>
      <c r="E4" s="92"/>
      <c r="F4" s="92"/>
      <c r="G4" s="92"/>
      <c r="H4" s="84"/>
      <c r="I4" s="92"/>
      <c r="J4" s="84"/>
      <c r="K4" s="84"/>
      <c r="M4" s="84"/>
      <c r="N4" s="84"/>
    </row>
    <row r="5" spans="1:17" ht="15" thickBot="1" x14ac:dyDescent="0.35">
      <c r="A5" s="93"/>
      <c r="B5" s="94" t="s">
        <v>115</v>
      </c>
      <c r="C5" s="94" t="s">
        <v>116</v>
      </c>
      <c r="D5" s="1225" t="s">
        <v>471</v>
      </c>
      <c r="E5" s="1226"/>
      <c r="F5" s="1226"/>
      <c r="G5" s="1226"/>
      <c r="H5" s="1226"/>
      <c r="I5" s="1226"/>
      <c r="J5" s="1226"/>
      <c r="K5" s="1226"/>
      <c r="L5" s="1226"/>
      <c r="M5" s="1227"/>
      <c r="N5" s="766"/>
      <c r="O5" s="95"/>
      <c r="P5" s="95"/>
      <c r="Q5" s="95"/>
    </row>
    <row r="6" spans="1:17" ht="15" thickBot="1" x14ac:dyDescent="0.35">
      <c r="A6" s="96"/>
      <c r="B6" s="97"/>
      <c r="C6" s="98"/>
      <c r="D6" s="752" t="s">
        <v>279</v>
      </c>
      <c r="E6" s="740"/>
      <c r="F6" s="758" t="s">
        <v>469</v>
      </c>
      <c r="G6" s="740"/>
      <c r="H6" s="759" t="s">
        <v>470</v>
      </c>
      <c r="I6" s="740"/>
      <c r="J6" s="758" t="s">
        <v>472</v>
      </c>
      <c r="K6" s="741"/>
      <c r="L6" s="742"/>
      <c r="M6" s="758" t="s">
        <v>473</v>
      </c>
      <c r="N6" s="758" t="s">
        <v>92</v>
      </c>
      <c r="O6" s="99"/>
      <c r="P6" s="758" t="s">
        <v>476</v>
      </c>
    </row>
    <row r="7" spans="1:17" x14ac:dyDescent="0.3">
      <c r="A7" s="82" t="s">
        <v>122</v>
      </c>
      <c r="B7" s="90" t="s">
        <v>245</v>
      </c>
      <c r="D7" s="753"/>
      <c r="E7" s="744"/>
      <c r="F7" s="753"/>
      <c r="G7" s="744"/>
      <c r="H7" s="760"/>
      <c r="I7" s="744"/>
      <c r="J7" s="760"/>
      <c r="K7" s="745"/>
      <c r="L7" s="744"/>
      <c r="M7" s="760"/>
      <c r="N7" s="760"/>
      <c r="P7" s="763"/>
    </row>
    <row r="8" spans="1:17" x14ac:dyDescent="0.3">
      <c r="A8" s="82" t="s">
        <v>123</v>
      </c>
      <c r="B8" s="105"/>
      <c r="D8" s="754"/>
      <c r="E8" s="744"/>
      <c r="F8" s="754"/>
      <c r="G8" s="744"/>
      <c r="H8" s="761"/>
      <c r="I8" s="744"/>
      <c r="J8" s="761"/>
      <c r="K8" s="746"/>
      <c r="L8" s="746"/>
      <c r="M8" s="761"/>
      <c r="N8" s="761"/>
      <c r="P8" s="764"/>
    </row>
    <row r="9" spans="1:17" x14ac:dyDescent="0.3">
      <c r="A9" s="82" t="s">
        <v>124</v>
      </c>
      <c r="B9" s="83">
        <v>5110</v>
      </c>
      <c r="C9" s="83" t="s">
        <v>125</v>
      </c>
      <c r="D9" s="753">
        <f>'FY27 Financial Forecast'!$I$37*P9</f>
        <v>4833704.2212195257</v>
      </c>
      <c r="E9" s="743"/>
      <c r="F9" s="753">
        <f>'FY27 Financial Forecast'!$J$37*$P9</f>
        <v>4954546.826750014</v>
      </c>
      <c r="G9" s="743"/>
      <c r="H9" s="753">
        <f>'FY27 Financial Forecast'!$K$37*$P9</f>
        <v>5078410.4974187631</v>
      </c>
      <c r="I9" s="743"/>
      <c r="J9" s="753">
        <f>'FY27 Financial Forecast'!$L$37*$P9</f>
        <v>5205370.759854231</v>
      </c>
      <c r="K9" s="745"/>
      <c r="L9" s="743"/>
      <c r="M9" s="753">
        <f>'FY27 Financial Forecast'!$M$37*$P9</f>
        <v>5335505.0288505871</v>
      </c>
      <c r="N9" s="753">
        <f>SUM(D9:M9)</f>
        <v>25407537.334093116</v>
      </c>
      <c r="P9" s="765">
        <v>0.61155396860305966</v>
      </c>
    </row>
    <row r="10" spans="1:17" ht="14.25" hidden="1" customHeight="1" x14ac:dyDescent="0.3">
      <c r="A10" s="82" t="s">
        <v>118</v>
      </c>
      <c r="C10" s="83" t="s">
        <v>126</v>
      </c>
      <c r="D10" s="753"/>
      <c r="E10" s="743"/>
      <c r="F10" s="753"/>
      <c r="G10" s="743"/>
      <c r="H10" s="753">
        <f>'FY27 Financial Forecast'!$J$37*$P10</f>
        <v>0</v>
      </c>
      <c r="I10" s="743"/>
      <c r="J10" s="753"/>
      <c r="K10" s="745"/>
      <c r="L10" s="743"/>
      <c r="M10" s="753"/>
      <c r="N10" s="753"/>
      <c r="P10" s="765"/>
    </row>
    <row r="11" spans="1:17" ht="14.25" hidden="1" customHeight="1" x14ac:dyDescent="0.3">
      <c r="A11" s="82" t="s">
        <v>119</v>
      </c>
      <c r="C11" s="83" t="s">
        <v>127</v>
      </c>
      <c r="D11" s="753"/>
      <c r="E11" s="743"/>
      <c r="F11" s="753"/>
      <c r="G11" s="743"/>
      <c r="H11" s="753">
        <f>'FY27 Financial Forecast'!$J$37*$P11</f>
        <v>0</v>
      </c>
      <c r="I11" s="743"/>
      <c r="J11" s="753"/>
      <c r="K11" s="745"/>
      <c r="L11" s="743"/>
      <c r="M11" s="753"/>
      <c r="N11" s="753"/>
      <c r="P11" s="765"/>
    </row>
    <row r="12" spans="1:17" ht="14.25" hidden="1" customHeight="1" x14ac:dyDescent="0.3">
      <c r="A12" s="82" t="s">
        <v>120</v>
      </c>
      <c r="C12" s="83" t="s">
        <v>128</v>
      </c>
      <c r="D12" s="753"/>
      <c r="E12" s="743"/>
      <c r="F12" s="753"/>
      <c r="G12" s="743"/>
      <c r="H12" s="753">
        <f>'FY27 Financial Forecast'!$J$37*$P12</f>
        <v>0</v>
      </c>
      <c r="I12" s="743"/>
      <c r="J12" s="753"/>
      <c r="K12" s="745"/>
      <c r="L12" s="743"/>
      <c r="M12" s="753"/>
      <c r="N12" s="753"/>
      <c r="P12" s="765"/>
    </row>
    <row r="13" spans="1:17" ht="14.25" hidden="1" customHeight="1" x14ac:dyDescent="0.3">
      <c r="A13" s="82" t="s">
        <v>121</v>
      </c>
      <c r="C13" s="83" t="s">
        <v>129</v>
      </c>
      <c r="D13" s="753"/>
      <c r="E13" s="743"/>
      <c r="F13" s="753"/>
      <c r="G13" s="743"/>
      <c r="H13" s="753">
        <f>'FY27 Financial Forecast'!$J$37*$P13</f>
        <v>0</v>
      </c>
      <c r="I13" s="743"/>
      <c r="J13" s="753"/>
      <c r="K13" s="745"/>
      <c r="L13" s="743"/>
      <c r="M13" s="753"/>
      <c r="N13" s="753"/>
      <c r="P13" s="765"/>
    </row>
    <row r="14" spans="1:17" ht="14.25" hidden="1" customHeight="1" x14ac:dyDescent="0.3">
      <c r="D14" s="753"/>
      <c r="E14" s="743"/>
      <c r="F14" s="753"/>
      <c r="G14" s="743"/>
      <c r="H14" s="753">
        <f>'FY27 Financial Forecast'!$J$37*$P14</f>
        <v>0</v>
      </c>
      <c r="I14" s="743"/>
      <c r="J14" s="753"/>
      <c r="K14" s="745"/>
      <c r="L14" s="743"/>
      <c r="M14" s="753"/>
      <c r="N14" s="753"/>
      <c r="P14" s="765"/>
    </row>
    <row r="15" spans="1:17" x14ac:dyDescent="0.3">
      <c r="A15" s="82" t="s">
        <v>130</v>
      </c>
      <c r="B15" s="83">
        <v>5210</v>
      </c>
      <c r="C15" s="83" t="s">
        <v>131</v>
      </c>
      <c r="D15" s="753">
        <f>'FY27 Financial Forecast'!$I$37*P15</f>
        <v>1139297.8836319554</v>
      </c>
      <c r="E15" s="743"/>
      <c r="F15" s="753">
        <f>'FY27 Financial Forecast'!$J$37*$P15</f>
        <v>1167780.3307227544</v>
      </c>
      <c r="G15" s="743"/>
      <c r="H15" s="753">
        <f>'FY27 Financial Forecast'!$K$37*$P15</f>
        <v>1196974.8389908229</v>
      </c>
      <c r="I15" s="743"/>
      <c r="J15" s="753">
        <f>'FY27 Financial Forecast'!$L$37*$P15</f>
        <v>1226899.2099655932</v>
      </c>
      <c r="K15" s="745"/>
      <c r="L15" s="743"/>
      <c r="M15" s="753">
        <f>'FY27 Financial Forecast'!$M$37*$P15</f>
        <v>1257571.6902147331</v>
      </c>
      <c r="N15" s="753">
        <f t="shared" ref="N15:N63" si="0">SUM(D15:M15)</f>
        <v>5988523.953525858</v>
      </c>
      <c r="P15" s="765">
        <v>0.14414248581813385</v>
      </c>
    </row>
    <row r="16" spans="1:17" x14ac:dyDescent="0.3">
      <c r="A16" s="82" t="s">
        <v>132</v>
      </c>
      <c r="B16" s="83">
        <v>6310</v>
      </c>
      <c r="C16" s="83" t="s">
        <v>133</v>
      </c>
      <c r="D16" s="753">
        <f>'FY27 Financial Forecast'!$I$37*P16</f>
        <v>5520.3680721385108</v>
      </c>
      <c r="E16" s="743"/>
      <c r="F16" s="753">
        <f>'FY27 Financial Forecast'!$J$37*$P16</f>
        <v>5658.3772739419728</v>
      </c>
      <c r="G16" s="743"/>
      <c r="H16" s="753">
        <f>'FY27 Financial Forecast'!$K$37*$P16</f>
        <v>5799.8367057905216</v>
      </c>
      <c r="I16" s="743"/>
      <c r="J16" s="753">
        <f>'FY27 Financial Forecast'!$L$37*$P16</f>
        <v>5944.8326234352835</v>
      </c>
      <c r="K16" s="745"/>
      <c r="L16" s="743"/>
      <c r="M16" s="753">
        <f>'FY27 Financial Forecast'!$M$37*$P16</f>
        <v>6093.4534390211657</v>
      </c>
      <c r="N16" s="753">
        <f t="shared" si="0"/>
        <v>29016.868114327452</v>
      </c>
      <c r="P16" s="765">
        <v>6.9842978555567778E-4</v>
      </c>
    </row>
    <row r="17" spans="1:16" x14ac:dyDescent="0.3">
      <c r="A17" s="82" t="s">
        <v>134</v>
      </c>
      <c r="B17" s="83">
        <v>6320</v>
      </c>
      <c r="C17" s="83" t="s">
        <v>135</v>
      </c>
      <c r="D17" s="753">
        <f>'FY27 Financial Forecast'!$I$37*P17</f>
        <v>27618.368408812727</v>
      </c>
      <c r="E17" s="743"/>
      <c r="F17" s="753">
        <f>'FY27 Financial Forecast'!$J$37*$P17</f>
        <v>28308.827619033047</v>
      </c>
      <c r="G17" s="743"/>
      <c r="H17" s="753">
        <f>'FY27 Financial Forecast'!$K$37*$P17</f>
        <v>29016.548309508868</v>
      </c>
      <c r="I17" s="743"/>
      <c r="J17" s="753">
        <f>'FY27 Financial Forecast'!$L$37*$P17</f>
        <v>29741.96201724658</v>
      </c>
      <c r="K17" s="745"/>
      <c r="L17" s="743"/>
      <c r="M17" s="753">
        <f>'FY27 Financial Forecast'!$M$37*$P17</f>
        <v>30485.511067677748</v>
      </c>
      <c r="N17" s="753">
        <f t="shared" si="0"/>
        <v>145171.21742227898</v>
      </c>
      <c r="P17" s="765">
        <v>3.4942400349207712E-3</v>
      </c>
    </row>
    <row r="18" spans="1:16" x14ac:dyDescent="0.3">
      <c r="A18" s="82" t="s">
        <v>136</v>
      </c>
      <c r="B18" s="83">
        <v>6330</v>
      </c>
      <c r="C18" s="83" t="s">
        <v>137</v>
      </c>
      <c r="D18" s="753">
        <f>'FY27 Financial Forecast'!$I$37*P18</f>
        <v>12950.882665525667</v>
      </c>
      <c r="E18" s="743"/>
      <c r="F18" s="753">
        <f>'FY27 Financial Forecast'!$J$37*$P18</f>
        <v>13274.654732163808</v>
      </c>
      <c r="G18" s="743"/>
      <c r="H18" s="753">
        <f>'FY27 Financial Forecast'!$K$37*$P18</f>
        <v>13606.5211004679</v>
      </c>
      <c r="I18" s="743"/>
      <c r="J18" s="753">
        <f>'FY27 Financial Forecast'!$L$37*$P18</f>
        <v>13946.684127979595</v>
      </c>
      <c r="K18" s="745"/>
      <c r="L18" s="743"/>
      <c r="M18" s="753">
        <f>'FY27 Financial Forecast'!$M$37*$P18</f>
        <v>14295.351231179086</v>
      </c>
      <c r="N18" s="753">
        <f t="shared" si="0"/>
        <v>68074.093857316053</v>
      </c>
      <c r="P18" s="765">
        <v>1.6385288235564743E-3</v>
      </c>
    </row>
    <row r="19" spans="1:16" x14ac:dyDescent="0.3">
      <c r="A19" s="82" t="s">
        <v>138</v>
      </c>
      <c r="B19" s="83">
        <v>6431</v>
      </c>
      <c r="C19" s="83" t="s">
        <v>139</v>
      </c>
      <c r="D19" s="753">
        <f>'FY27 Financial Forecast'!$I$37*P19</f>
        <v>13419.854225186973</v>
      </c>
      <c r="E19" s="743"/>
      <c r="F19" s="753">
        <f>'FY27 Financial Forecast'!$J$37*$P19</f>
        <v>13755.350580816648</v>
      </c>
      <c r="G19" s="743"/>
      <c r="H19" s="753">
        <f>'FY27 Financial Forecast'!$K$37*$P19</f>
        <v>14099.234345337061</v>
      </c>
      <c r="I19" s="743"/>
      <c r="J19" s="753">
        <f>'FY27 Financial Forecast'!$L$37*$P19</f>
        <v>14451.715203970483</v>
      </c>
      <c r="K19" s="745"/>
      <c r="L19" s="743"/>
      <c r="M19" s="753">
        <f>'FY27 Financial Forecast'!$M$37*$P19</f>
        <v>14813.008084069746</v>
      </c>
      <c r="N19" s="753">
        <f t="shared" si="0"/>
        <v>70539.162439380903</v>
      </c>
      <c r="P19" s="765">
        <v>1.6978624950736115E-3</v>
      </c>
    </row>
    <row r="20" spans="1:16" x14ac:dyDescent="0.3">
      <c r="A20" s="82" t="s">
        <v>140</v>
      </c>
      <c r="B20" s="83">
        <v>6432</v>
      </c>
      <c r="C20" s="83" t="s">
        <v>141</v>
      </c>
      <c r="D20" s="753">
        <f>'FY27 Financial Forecast'!$I$37*P20</f>
        <v>143339.5681567112</v>
      </c>
      <c r="E20" s="743"/>
      <c r="F20" s="753">
        <f>'FY27 Financial Forecast'!$J$37*$P20</f>
        <v>146923.057360629</v>
      </c>
      <c r="G20" s="743"/>
      <c r="H20" s="753">
        <f>'FY27 Financial Forecast'!$K$37*$P20</f>
        <v>150596.1337946447</v>
      </c>
      <c r="I20" s="743"/>
      <c r="J20" s="753">
        <f>'FY27 Financial Forecast'!$L$37*$P20</f>
        <v>154361.03713951076</v>
      </c>
      <c r="K20" s="745"/>
      <c r="L20" s="743"/>
      <c r="M20" s="753">
        <f>'FY27 Financial Forecast'!$M$37*$P20</f>
        <v>158220.06306799853</v>
      </c>
      <c r="N20" s="753">
        <f t="shared" si="0"/>
        <v>753439.85951949412</v>
      </c>
      <c r="P20" s="765">
        <v>1.8135135654197981E-2</v>
      </c>
    </row>
    <row r="21" spans="1:16" x14ac:dyDescent="0.3">
      <c r="A21" s="82" t="s">
        <v>142</v>
      </c>
      <c r="C21" s="83" t="s">
        <v>143</v>
      </c>
      <c r="D21" s="753">
        <f>'FY27 Financial Forecast'!$I$37*P21</f>
        <v>0</v>
      </c>
      <c r="E21" s="743"/>
      <c r="F21" s="753">
        <f>'FY27 Financial Forecast'!$J$37*$P21</f>
        <v>0</v>
      </c>
      <c r="G21" s="743"/>
      <c r="H21" s="753">
        <f>'FY27 Financial Forecast'!$K$37*$P21</f>
        <v>0</v>
      </c>
      <c r="I21" s="743"/>
      <c r="J21" s="753">
        <f>'FY27 Financial Forecast'!$L$37*$P21</f>
        <v>0</v>
      </c>
      <c r="K21" s="745"/>
      <c r="L21" s="743"/>
      <c r="M21" s="753">
        <f>'FY27 Financial Forecast'!$M$37*$P21</f>
        <v>0</v>
      </c>
      <c r="N21" s="753">
        <f t="shared" si="0"/>
        <v>0</v>
      </c>
      <c r="P21" s="765">
        <v>0</v>
      </c>
    </row>
    <row r="22" spans="1:16" x14ac:dyDescent="0.3">
      <c r="A22" s="82" t="s">
        <v>144</v>
      </c>
      <c r="B22" s="83">
        <v>6510</v>
      </c>
      <c r="C22" s="83" t="s">
        <v>145</v>
      </c>
      <c r="D22" s="753">
        <f>'FY27 Financial Forecast'!$I$37*P22</f>
        <v>14605.411116847143</v>
      </c>
      <c r="E22" s="743"/>
      <c r="F22" s="753">
        <f>'FY27 Financial Forecast'!$J$37*$P22</f>
        <v>14970.546394768322</v>
      </c>
      <c r="G22" s="743"/>
      <c r="H22" s="753">
        <f>'FY27 Financial Forecast'!$K$37*$P22</f>
        <v>15344.810054637526</v>
      </c>
      <c r="I22" s="743"/>
      <c r="J22" s="753">
        <f>'FY27 Financial Forecast'!$L$37*$P22</f>
        <v>15728.430306003462</v>
      </c>
      <c r="K22" s="745"/>
      <c r="L22" s="743"/>
      <c r="M22" s="753">
        <f>'FY27 Financial Forecast'!$M$37*$P22</f>
        <v>16121.641063653549</v>
      </c>
      <c r="N22" s="753">
        <f t="shared" si="0"/>
        <v>76770.838935909997</v>
      </c>
      <c r="P22" s="765">
        <v>1.8478576103966922E-3</v>
      </c>
    </row>
    <row r="23" spans="1:16" x14ac:dyDescent="0.3">
      <c r="A23" s="82" t="s">
        <v>146</v>
      </c>
      <c r="B23" s="83">
        <v>6530</v>
      </c>
      <c r="C23" s="83" t="s">
        <v>147</v>
      </c>
      <c r="D23" s="753">
        <f>'FY27 Financial Forecast'!$I$37*P23</f>
        <v>3000.2657407634579</v>
      </c>
      <c r="E23" s="743"/>
      <c r="F23" s="753">
        <f>'FY27 Financial Forecast'!$J$37*$P23</f>
        <v>3075.272384282544</v>
      </c>
      <c r="G23" s="743"/>
      <c r="H23" s="753">
        <f>'FY27 Financial Forecast'!$K$37*$P23</f>
        <v>3152.1541938896071</v>
      </c>
      <c r="I23" s="743"/>
      <c r="J23" s="753">
        <f>'FY27 Financial Forecast'!$L$37*$P23</f>
        <v>3230.9580487368466</v>
      </c>
      <c r="K23" s="745"/>
      <c r="L23" s="743"/>
      <c r="M23" s="753">
        <f>'FY27 Financial Forecast'!$M$37*$P23</f>
        <v>3311.7319999552678</v>
      </c>
      <c r="N23" s="753">
        <f t="shared" si="0"/>
        <v>15770.382367627724</v>
      </c>
      <c r="P23" s="765">
        <v>3.7958971766890027E-4</v>
      </c>
    </row>
    <row r="24" spans="1:16" x14ac:dyDescent="0.3">
      <c r="A24" s="82" t="s">
        <v>148</v>
      </c>
      <c r="B24" s="83">
        <v>6610</v>
      </c>
      <c r="C24" s="83" t="s">
        <v>149</v>
      </c>
      <c r="D24" s="753">
        <f>'FY27 Financial Forecast'!$I$37*P24</f>
        <v>7881.2108541270181</v>
      </c>
      <c r="E24" s="743"/>
      <c r="F24" s="753">
        <f>'FY27 Financial Forecast'!$J$37*$P24</f>
        <v>8078.2411254801937</v>
      </c>
      <c r="G24" s="743"/>
      <c r="H24" s="753">
        <f>'FY27 Financial Forecast'!$K$37*$P24</f>
        <v>8280.1971536171968</v>
      </c>
      <c r="I24" s="743"/>
      <c r="J24" s="753">
        <f>'FY27 Financial Forecast'!$L$37*$P24</f>
        <v>8487.2020824576248</v>
      </c>
      <c r="K24" s="745"/>
      <c r="L24" s="743"/>
      <c r="M24" s="753">
        <f>'FY27 Financial Forecast'!$M$37*$P24</f>
        <v>8699.3821345190663</v>
      </c>
      <c r="N24" s="753">
        <f t="shared" si="0"/>
        <v>41426.233350201102</v>
      </c>
      <c r="P24" s="765">
        <v>9.9712054247764331E-4</v>
      </c>
    </row>
    <row r="25" spans="1:16" x14ac:dyDescent="0.3">
      <c r="A25" s="82" t="s">
        <v>150</v>
      </c>
      <c r="B25" s="83">
        <v>6810</v>
      </c>
      <c r="C25" s="83" t="s">
        <v>151</v>
      </c>
      <c r="D25" s="753">
        <f>'FY27 Financial Forecast'!$I$37*P25</f>
        <v>20337.125701448076</v>
      </c>
      <c r="E25" s="743"/>
      <c r="F25" s="753">
        <f>'FY27 Financial Forecast'!$J$37*$P25</f>
        <v>20845.553843984279</v>
      </c>
      <c r="G25" s="743"/>
      <c r="H25" s="753">
        <f>'FY27 Financial Forecast'!$K$37*$P25</f>
        <v>21366.692690083881</v>
      </c>
      <c r="I25" s="743"/>
      <c r="J25" s="753">
        <f>'FY27 Financial Forecast'!$L$37*$P25</f>
        <v>21900.86000733597</v>
      </c>
      <c r="K25" s="745"/>
      <c r="L25" s="743"/>
      <c r="M25" s="753">
        <f>'FY27 Financial Forecast'!$M$37*$P25</f>
        <v>22448.381507519371</v>
      </c>
      <c r="N25" s="753">
        <f t="shared" si="0"/>
        <v>106898.61375037159</v>
      </c>
      <c r="P25" s="765">
        <v>2.5730266817116051E-3</v>
      </c>
    </row>
    <row r="26" spans="1:16" x14ac:dyDescent="0.3">
      <c r="A26" s="82" t="s">
        <v>152</v>
      </c>
      <c r="B26" s="83">
        <v>6815</v>
      </c>
      <c r="C26" s="83" t="s">
        <v>153</v>
      </c>
      <c r="D26" s="753">
        <f>'FY27 Financial Forecast'!$I$37*P26</f>
        <v>921.27340221856457</v>
      </c>
      <c r="E26" s="743"/>
      <c r="F26" s="753">
        <f>'FY27 Financial Forecast'!$J$37*$P26</f>
        <v>944.30523727402863</v>
      </c>
      <c r="G26" s="743"/>
      <c r="H26" s="753">
        <f>'FY27 Financial Forecast'!$K$37*$P26</f>
        <v>967.91286820587914</v>
      </c>
      <c r="I26" s="743"/>
      <c r="J26" s="753">
        <f>'FY27 Financial Forecast'!$L$37*$P26</f>
        <v>992.11068991102593</v>
      </c>
      <c r="K26" s="745"/>
      <c r="L26" s="743"/>
      <c r="M26" s="753">
        <f>'FY27 Financial Forecast'!$M$37*$P26</f>
        <v>1016.9134571588016</v>
      </c>
      <c r="N26" s="753">
        <f t="shared" si="0"/>
        <v>4842.5156547683</v>
      </c>
      <c r="P26" s="765">
        <v>1.1655831211638766E-4</v>
      </c>
    </row>
    <row r="27" spans="1:16" x14ac:dyDescent="0.3">
      <c r="A27" s="82" t="s">
        <v>154</v>
      </c>
      <c r="B27" s="83">
        <v>6825</v>
      </c>
      <c r="C27" s="83" t="s">
        <v>155</v>
      </c>
      <c r="D27" s="753">
        <f>'FY27 Financial Forecast'!$I$37*P27</f>
        <v>2302.8293330866932</v>
      </c>
      <c r="E27" s="743"/>
      <c r="F27" s="753">
        <f>'FY27 Financial Forecast'!$J$37*$P27</f>
        <v>2360.4000664138607</v>
      </c>
      <c r="G27" s="743"/>
      <c r="H27" s="753">
        <f>'FY27 Financial Forecast'!$K$37*$P27</f>
        <v>2419.4100680742067</v>
      </c>
      <c r="I27" s="743"/>
      <c r="J27" s="753">
        <f>'FY27 Financial Forecast'!$L$37*$P27</f>
        <v>2479.8953197760611</v>
      </c>
      <c r="K27" s="745"/>
      <c r="L27" s="743"/>
      <c r="M27" s="753">
        <f>'FY27 Financial Forecast'!$M$37*$P27</f>
        <v>2541.8927027704631</v>
      </c>
      <c r="N27" s="753">
        <f t="shared" si="0"/>
        <v>12104.427490121285</v>
      </c>
      <c r="P27" s="765">
        <v>2.9135097085220381E-4</v>
      </c>
    </row>
    <row r="28" spans="1:16" x14ac:dyDescent="0.3">
      <c r="A28" s="82" t="s">
        <v>156</v>
      </c>
      <c r="B28" s="83">
        <v>6830</v>
      </c>
      <c r="C28" s="83" t="s">
        <v>157</v>
      </c>
      <c r="D28" s="753">
        <f>'FY27 Financial Forecast'!$I$37*P28</f>
        <v>4184.0753816223469</v>
      </c>
      <c r="E28" s="743"/>
      <c r="F28" s="753">
        <f>'FY27 Financial Forecast'!$J$37*$P28</f>
        <v>4288.6772661629057</v>
      </c>
      <c r="G28" s="743"/>
      <c r="H28" s="753">
        <f>'FY27 Financial Forecast'!$K$37*$P28</f>
        <v>4395.8941978169778</v>
      </c>
      <c r="I28" s="743"/>
      <c r="J28" s="753">
        <f>'FY27 Financial Forecast'!$L$37*$P28</f>
        <v>4505.7915527624009</v>
      </c>
      <c r="K28" s="745"/>
      <c r="L28" s="743"/>
      <c r="M28" s="753">
        <f>'FY27 Financial Forecast'!$M$37*$P28</f>
        <v>4618.4363415814614</v>
      </c>
      <c r="N28" s="753">
        <f t="shared" si="0"/>
        <v>21992.874739946095</v>
      </c>
      <c r="P28" s="765">
        <v>5.2936377309407132E-4</v>
      </c>
    </row>
    <row r="29" spans="1:16" x14ac:dyDescent="0.3">
      <c r="A29" s="82" t="s">
        <v>158</v>
      </c>
      <c r="B29" s="83">
        <v>6835</v>
      </c>
      <c r="C29" s="83" t="s">
        <v>159</v>
      </c>
      <c r="D29" s="753">
        <f>'FY27 Financial Forecast'!$I$37*P29</f>
        <v>0</v>
      </c>
      <c r="E29" s="743"/>
      <c r="F29" s="753">
        <f>'FY27 Financial Forecast'!$J$37*$P29</f>
        <v>0</v>
      </c>
      <c r="G29" s="743"/>
      <c r="H29" s="753">
        <f>'FY27 Financial Forecast'!$K$37*$P29</f>
        <v>0</v>
      </c>
      <c r="I29" s="743"/>
      <c r="J29" s="753">
        <f>'FY27 Financial Forecast'!$L$37*$P29</f>
        <v>0</v>
      </c>
      <c r="K29" s="745"/>
      <c r="L29" s="743"/>
      <c r="M29" s="753">
        <f>'FY27 Financial Forecast'!$M$37*$P29</f>
        <v>0</v>
      </c>
      <c r="N29" s="753">
        <f t="shared" si="0"/>
        <v>0</v>
      </c>
      <c r="P29" s="765">
        <v>0</v>
      </c>
    </row>
    <row r="30" spans="1:16" x14ac:dyDescent="0.3">
      <c r="A30" s="82" t="s">
        <v>160</v>
      </c>
      <c r="B30" s="83">
        <v>6840</v>
      </c>
      <c r="C30" s="83" t="s">
        <v>161</v>
      </c>
      <c r="D30" s="753">
        <f>'FY27 Financial Forecast'!$I$37*P30</f>
        <v>681.7819849572262</v>
      </c>
      <c r="E30" s="743"/>
      <c r="F30" s="753">
        <f>'FY27 Financial Forecast'!$J$37*$P30</f>
        <v>698.82653458115681</v>
      </c>
      <c r="G30" s="743"/>
      <c r="H30" s="753">
        <f>'FY27 Financial Forecast'!$K$37*$P30</f>
        <v>716.29719794568564</v>
      </c>
      <c r="I30" s="743"/>
      <c r="J30" s="753">
        <f>'FY27 Financial Forecast'!$L$37*$P30</f>
        <v>734.20462789432759</v>
      </c>
      <c r="K30" s="745"/>
      <c r="L30" s="743"/>
      <c r="M30" s="753">
        <f>'FY27 Financial Forecast'!$M$37*$P30</f>
        <v>752.55974359168579</v>
      </c>
      <c r="N30" s="753">
        <f t="shared" si="0"/>
        <v>3583.6700889700819</v>
      </c>
      <c r="P30" s="765">
        <v>8.6258169623268583E-5</v>
      </c>
    </row>
    <row r="31" spans="1:16" x14ac:dyDescent="0.3">
      <c r="A31" s="82" t="s">
        <v>162</v>
      </c>
      <c r="B31" s="83">
        <v>6845</v>
      </c>
      <c r="C31" s="83" t="s">
        <v>163</v>
      </c>
      <c r="D31" s="753">
        <f>'FY27 Financial Forecast'!$I$37*P31</f>
        <v>1652.7575890228891</v>
      </c>
      <c r="E31" s="743"/>
      <c r="F31" s="753">
        <f>'FY27 Financial Forecast'!$J$37*$P31</f>
        <v>1694.0765287484612</v>
      </c>
      <c r="G31" s="743"/>
      <c r="H31" s="753">
        <f>'FY27 Financial Forecast'!$K$37*$P31</f>
        <v>1736.4284419671724</v>
      </c>
      <c r="I31" s="743"/>
      <c r="J31" s="753">
        <f>'FY27 Financial Forecast'!$L$37*$P31</f>
        <v>1779.8391530163512</v>
      </c>
      <c r="K31" s="745"/>
      <c r="L31" s="743"/>
      <c r="M31" s="753">
        <f>'FY27 Financial Forecast'!$M$37*$P31</f>
        <v>1824.3351318417601</v>
      </c>
      <c r="N31" s="753">
        <f t="shared" si="0"/>
        <v>8687.4368445966338</v>
      </c>
      <c r="P31" s="765">
        <v>2.0910473964639149E-4</v>
      </c>
    </row>
    <row r="32" spans="1:16" x14ac:dyDescent="0.3">
      <c r="A32" s="82" t="s">
        <v>164</v>
      </c>
      <c r="B32" s="83">
        <v>6850</v>
      </c>
      <c r="C32" s="83" t="s">
        <v>165</v>
      </c>
      <c r="D32" s="753">
        <f>'FY27 Financial Forecast'!$I$37*P32</f>
        <v>-420.40270968531297</v>
      </c>
      <c r="E32" s="743"/>
      <c r="F32" s="753">
        <f>'FY27 Financial Forecast'!$J$37*$P32</f>
        <v>-430.9127774274458</v>
      </c>
      <c r="G32" s="743"/>
      <c r="H32" s="753">
        <f>'FY27 Financial Forecast'!$K$37*$P32</f>
        <v>-441.68559686313188</v>
      </c>
      <c r="I32" s="743"/>
      <c r="J32" s="753">
        <f>'FY27 Financial Forecast'!$L$37*$P32</f>
        <v>-452.72773678471003</v>
      </c>
      <c r="K32" s="745"/>
      <c r="L32" s="743"/>
      <c r="M32" s="753">
        <f>'FY27 Financial Forecast'!$M$37*$P32</f>
        <v>-464.04593020432782</v>
      </c>
      <c r="N32" s="753">
        <f t="shared" si="0"/>
        <v>-2209.7747509649284</v>
      </c>
      <c r="P32" s="765">
        <v>-5.3188803814451848E-5</v>
      </c>
    </row>
    <row r="33" spans="1:16" x14ac:dyDescent="0.3">
      <c r="A33" s="82" t="s">
        <v>166</v>
      </c>
      <c r="B33" s="83">
        <v>6855</v>
      </c>
      <c r="C33" s="83" t="s">
        <v>167</v>
      </c>
      <c r="D33" s="753">
        <f>'FY27 Financial Forecast'!$I$37*P33</f>
        <v>53212.475929855624</v>
      </c>
      <c r="E33" s="743"/>
      <c r="F33" s="753">
        <f>'FY27 Financial Forecast'!$J$37*$P33</f>
        <v>54542.787828102017</v>
      </c>
      <c r="G33" s="743"/>
      <c r="H33" s="753">
        <f>'FY27 Financial Forecast'!$K$37*$P33</f>
        <v>55906.357523804552</v>
      </c>
      <c r="I33" s="743"/>
      <c r="J33" s="753">
        <f>'FY27 Financial Forecast'!$L$37*$P33</f>
        <v>57304.016461899657</v>
      </c>
      <c r="K33" s="745"/>
      <c r="L33" s="743"/>
      <c r="M33" s="753">
        <f>'FY27 Financial Forecast'!$M$37*$P33</f>
        <v>58736.61687344715</v>
      </c>
      <c r="N33" s="753">
        <f t="shared" si="0"/>
        <v>279702.25461710902</v>
      </c>
      <c r="P33" s="765">
        <v>6.7323732162262286E-3</v>
      </c>
    </row>
    <row r="34" spans="1:16" x14ac:dyDescent="0.3">
      <c r="A34" s="82" t="s">
        <v>168</v>
      </c>
      <c r="B34" s="83">
        <v>7610</v>
      </c>
      <c r="C34" s="83" t="s">
        <v>169</v>
      </c>
      <c r="D34" s="753">
        <f>'FY27 Financial Forecast'!$I$37*P34</f>
        <v>12218.784579791165</v>
      </c>
      <c r="E34" s="743"/>
      <c r="F34" s="753">
        <f>'FY27 Financial Forecast'!$J$37*$P34</f>
        <v>12524.254194285944</v>
      </c>
      <c r="G34" s="743"/>
      <c r="H34" s="753">
        <f>'FY27 Financial Forecast'!$K$37*$P34</f>
        <v>12837.36054914309</v>
      </c>
      <c r="I34" s="743"/>
      <c r="J34" s="753">
        <f>'FY27 Financial Forecast'!$L$37*$P34</f>
        <v>13158.294562871664</v>
      </c>
      <c r="K34" s="745"/>
      <c r="L34" s="743"/>
      <c r="M34" s="753">
        <f>'FY27 Financial Forecast'!$M$37*$P34</f>
        <v>13487.251926943456</v>
      </c>
      <c r="N34" s="753">
        <f t="shared" si="0"/>
        <v>64225.945813035323</v>
      </c>
      <c r="P34" s="765">
        <v>1.5459047263326107E-3</v>
      </c>
    </row>
    <row r="35" spans="1:16" x14ac:dyDescent="0.3">
      <c r="A35" s="82" t="s">
        <v>170</v>
      </c>
      <c r="B35" s="83">
        <v>7810</v>
      </c>
      <c r="C35" s="83" t="s">
        <v>171</v>
      </c>
      <c r="D35" s="753">
        <f>'FY27 Financial Forecast'!$I$37*P35</f>
        <v>0</v>
      </c>
      <c r="E35" s="743"/>
      <c r="F35" s="753">
        <f>'FY27 Financial Forecast'!$J$37*$P35</f>
        <v>0</v>
      </c>
      <c r="G35" s="743"/>
      <c r="H35" s="753">
        <f>'FY27 Financial Forecast'!$K$37*$P35</f>
        <v>0</v>
      </c>
      <c r="I35" s="743"/>
      <c r="J35" s="753">
        <f>'FY27 Financial Forecast'!$L$37*$P35</f>
        <v>0</v>
      </c>
      <c r="K35" s="745"/>
      <c r="L35" s="743"/>
      <c r="M35" s="753">
        <f>'FY27 Financial Forecast'!$M$37*$P35</f>
        <v>0</v>
      </c>
      <c r="N35" s="753">
        <f t="shared" si="0"/>
        <v>0</v>
      </c>
      <c r="P35" s="765">
        <v>0</v>
      </c>
    </row>
    <row r="36" spans="1:16" x14ac:dyDescent="0.3">
      <c r="A36" s="82" t="s">
        <v>172</v>
      </c>
      <c r="B36" s="83">
        <v>7820</v>
      </c>
      <c r="C36" s="83" t="s">
        <v>173</v>
      </c>
      <c r="D36" s="753">
        <f>'FY27 Financial Forecast'!$I$37*P36</f>
        <v>0</v>
      </c>
      <c r="E36" s="743"/>
      <c r="F36" s="753">
        <f>'FY27 Financial Forecast'!$J$37*$P36</f>
        <v>0</v>
      </c>
      <c r="G36" s="743"/>
      <c r="H36" s="753">
        <f>'FY27 Financial Forecast'!$K$37*$P36</f>
        <v>0</v>
      </c>
      <c r="I36" s="743"/>
      <c r="J36" s="753">
        <f>'FY27 Financial Forecast'!$L$37*$P36</f>
        <v>0</v>
      </c>
      <c r="K36" s="745"/>
      <c r="L36" s="743"/>
      <c r="M36" s="753">
        <f>'FY27 Financial Forecast'!$M$37*$P36</f>
        <v>0</v>
      </c>
      <c r="N36" s="753">
        <f t="shared" si="0"/>
        <v>0</v>
      </c>
      <c r="P36" s="765">
        <v>0</v>
      </c>
    </row>
    <row r="37" spans="1:16" x14ac:dyDescent="0.3">
      <c r="A37" s="82" t="s">
        <v>174</v>
      </c>
      <c r="B37" s="83">
        <v>7830</v>
      </c>
      <c r="C37" s="83" t="s">
        <v>175</v>
      </c>
      <c r="D37" s="753">
        <f>'FY27 Financial Forecast'!$I$37*P37</f>
        <v>314.74125920276452</v>
      </c>
      <c r="E37" s="743"/>
      <c r="F37" s="753">
        <f>'FY27 Financial Forecast'!$J$37*$P37</f>
        <v>322.60979068283365</v>
      </c>
      <c r="G37" s="743"/>
      <c r="H37" s="753">
        <f>'FY27 Financial Forecast'!$K$37*$P37</f>
        <v>330.67503544990444</v>
      </c>
      <c r="I37" s="743"/>
      <c r="J37" s="753">
        <f>'FY27 Financial Forecast'!$L$37*$P37</f>
        <v>338.94191133615197</v>
      </c>
      <c r="K37" s="745"/>
      <c r="L37" s="743"/>
      <c r="M37" s="753">
        <f>'FY27 Financial Forecast'!$M$37*$P37</f>
        <v>347.41545911955581</v>
      </c>
      <c r="N37" s="753">
        <f t="shared" si="0"/>
        <v>1654.3834557912103</v>
      </c>
      <c r="P37" s="765">
        <v>3.982065458279378E-5</v>
      </c>
    </row>
    <row r="38" spans="1:16" x14ac:dyDescent="0.3">
      <c r="A38" s="82" t="s">
        <v>176</v>
      </c>
      <c r="B38" s="83">
        <v>8610</v>
      </c>
      <c r="C38" s="83" t="s">
        <v>177</v>
      </c>
      <c r="D38" s="753">
        <f>'FY27 Financial Forecast'!$I$37*P38</f>
        <v>204515.84795830015</v>
      </c>
      <c r="E38" s="743"/>
      <c r="F38" s="753">
        <f>'FY27 Financial Forecast'!$J$37*$P38</f>
        <v>209628.74415725766</v>
      </c>
      <c r="G38" s="743"/>
      <c r="H38" s="753">
        <f>'FY27 Financial Forecast'!$K$37*$P38</f>
        <v>214869.46276118906</v>
      </c>
      <c r="I38" s="743"/>
      <c r="J38" s="753">
        <f>'FY27 Financial Forecast'!$L$37*$P38</f>
        <v>220241.19933021875</v>
      </c>
      <c r="K38" s="745"/>
      <c r="L38" s="743"/>
      <c r="M38" s="753">
        <f>'FY27 Financial Forecast'!$M$37*$P38</f>
        <v>225747.22931347421</v>
      </c>
      <c r="N38" s="753">
        <f t="shared" si="0"/>
        <v>1075002.4835204398</v>
      </c>
      <c r="P38" s="765">
        <v>2.5875078974021935E-2</v>
      </c>
    </row>
    <row r="39" spans="1:16" x14ac:dyDescent="0.3">
      <c r="A39" s="82" t="s">
        <v>178</v>
      </c>
      <c r="B39" s="83">
        <v>9411</v>
      </c>
      <c r="C39" s="83" t="s">
        <v>179</v>
      </c>
      <c r="D39" s="753">
        <f>'FY27 Financial Forecast'!$I$37*P39</f>
        <v>481707.86103924445</v>
      </c>
      <c r="E39" s="743"/>
      <c r="F39" s="753">
        <f>'FY27 Financial Forecast'!$J$37*$P39</f>
        <v>493750.55756522552</v>
      </c>
      <c r="G39" s="743"/>
      <c r="H39" s="753">
        <f>'FY27 Financial Forecast'!$K$37*$P39</f>
        <v>506094.32150435611</v>
      </c>
      <c r="I39" s="743"/>
      <c r="J39" s="753">
        <f>'FY27 Financial Forecast'!$L$37*$P39</f>
        <v>518746.67954196484</v>
      </c>
      <c r="K39" s="745"/>
      <c r="L39" s="743"/>
      <c r="M39" s="753">
        <f>'FY27 Financial Forecast'!$M$37*$P39</f>
        <v>531715.34653051395</v>
      </c>
      <c r="N39" s="753">
        <f t="shared" si="0"/>
        <v>2532014.7661813051</v>
      </c>
      <c r="P39" s="765">
        <v>6.0945051795394521E-2</v>
      </c>
    </row>
    <row r="40" spans="1:16" x14ac:dyDescent="0.3">
      <c r="A40" s="82" t="s">
        <v>180</v>
      </c>
      <c r="B40" s="83">
        <v>9421</v>
      </c>
      <c r="C40" s="83" t="s">
        <v>181</v>
      </c>
      <c r="D40" s="753">
        <f>'FY27 Financial Forecast'!$I$37*P40</f>
        <v>25412.960113645808</v>
      </c>
      <c r="E40" s="743"/>
      <c r="F40" s="753">
        <f>'FY27 Financial Forecast'!$J$37*$P40</f>
        <v>26048.28411648695</v>
      </c>
      <c r="G40" s="743"/>
      <c r="H40" s="753">
        <f>'FY27 Financial Forecast'!$K$37*$P40</f>
        <v>26699.491219399119</v>
      </c>
      <c r="I40" s="743"/>
      <c r="J40" s="753">
        <f>'FY27 Financial Forecast'!$L$37*$P40</f>
        <v>27366.978499884091</v>
      </c>
      <c r="K40" s="745"/>
      <c r="L40" s="743"/>
      <c r="M40" s="753">
        <f>'FY27 Financial Forecast'!$M$37*$P40</f>
        <v>28051.152962381195</v>
      </c>
      <c r="N40" s="753">
        <f t="shared" si="0"/>
        <v>133578.86691179714</v>
      </c>
      <c r="P40" s="765">
        <v>3.2152146470249515E-3</v>
      </c>
    </row>
    <row r="41" spans="1:16" x14ac:dyDescent="0.3">
      <c r="A41" s="82" t="s">
        <v>182</v>
      </c>
      <c r="B41" s="83">
        <v>9510</v>
      </c>
      <c r="C41" s="83" t="s">
        <v>183</v>
      </c>
      <c r="D41" s="753">
        <f>'FY27 Financial Forecast'!$I$37*P41</f>
        <v>100015.77619416172</v>
      </c>
      <c r="E41" s="743"/>
      <c r="F41" s="753">
        <f>'FY27 Financial Forecast'!$J$37*$P41</f>
        <v>102516.17059901576</v>
      </c>
      <c r="G41" s="743"/>
      <c r="H41" s="753">
        <f>'FY27 Financial Forecast'!$K$37*$P41</f>
        <v>105079.07486399115</v>
      </c>
      <c r="I41" s="743"/>
      <c r="J41" s="753">
        <f>'FY27 Financial Forecast'!$L$37*$P41</f>
        <v>107706.0517355909</v>
      </c>
      <c r="K41" s="745"/>
      <c r="L41" s="743"/>
      <c r="M41" s="753">
        <f>'FY27 Financial Forecast'!$M$37*$P41</f>
        <v>110398.70302898067</v>
      </c>
      <c r="N41" s="753">
        <f t="shared" si="0"/>
        <v>525715.77642174019</v>
      </c>
      <c r="P41" s="765">
        <v>1.2653865866667223E-2</v>
      </c>
    </row>
    <row r="42" spans="1:16" x14ac:dyDescent="0.3">
      <c r="A42" s="82" t="s">
        <v>184</v>
      </c>
      <c r="B42" s="83">
        <v>9520</v>
      </c>
      <c r="C42" s="83" t="s">
        <v>185</v>
      </c>
      <c r="D42" s="753">
        <f>'FY27 Financial Forecast'!$I$37*P42</f>
        <v>51701.576216698537</v>
      </c>
      <c r="E42" s="743"/>
      <c r="F42" s="753">
        <f>'FY27 Financial Forecast'!$J$37*$P42</f>
        <v>52994.115622116005</v>
      </c>
      <c r="G42" s="743"/>
      <c r="H42" s="753">
        <f>'FY27 Financial Forecast'!$K$37*$P42</f>
        <v>54318.968512668893</v>
      </c>
      <c r="I42" s="743"/>
      <c r="J42" s="753">
        <f>'FY27 Financial Forecast'!$L$37*$P42</f>
        <v>55676.942725485605</v>
      </c>
      <c r="K42" s="745"/>
      <c r="L42" s="743"/>
      <c r="M42" s="753">
        <f>'FY27 Financial Forecast'!$M$37*$P42</f>
        <v>57068.866293622748</v>
      </c>
      <c r="N42" s="753">
        <f t="shared" si="0"/>
        <v>271760.4693705918</v>
      </c>
      <c r="P42" s="765">
        <v>6.5412161504533215E-3</v>
      </c>
    </row>
    <row r="43" spans="1:16" x14ac:dyDescent="0.3">
      <c r="A43" s="82" t="s">
        <v>186</v>
      </c>
      <c r="B43" s="83">
        <v>9810</v>
      </c>
      <c r="C43" s="83" t="s">
        <v>187</v>
      </c>
      <c r="D43" s="753">
        <f>'FY27 Financial Forecast'!$I$37*P43</f>
        <v>0</v>
      </c>
      <c r="E43" s="743"/>
      <c r="F43" s="753">
        <f>'FY27 Financial Forecast'!$J$37*$P43</f>
        <v>0</v>
      </c>
      <c r="G43" s="743"/>
      <c r="H43" s="753">
        <f>'FY27 Financial Forecast'!$K$37*$P43</f>
        <v>0</v>
      </c>
      <c r="I43" s="743"/>
      <c r="J43" s="753">
        <f>'FY27 Financial Forecast'!$L$37*$P43</f>
        <v>0</v>
      </c>
      <c r="K43" s="745"/>
      <c r="L43" s="743"/>
      <c r="M43" s="753">
        <f>'FY27 Financial Forecast'!$M$37*$P43</f>
        <v>0</v>
      </c>
      <c r="N43" s="753">
        <f t="shared" si="0"/>
        <v>0</v>
      </c>
      <c r="P43" s="765">
        <v>0</v>
      </c>
    </row>
    <row r="44" spans="1:16" x14ac:dyDescent="0.3">
      <c r="A44" s="82" t="s">
        <v>188</v>
      </c>
      <c r="B44" s="83">
        <v>9825</v>
      </c>
      <c r="C44" s="83" t="s">
        <v>189</v>
      </c>
      <c r="D44" s="753">
        <f>'FY27 Financial Forecast'!$I$37*P44</f>
        <v>24731.721193126818</v>
      </c>
      <c r="E44" s="743"/>
      <c r="F44" s="753">
        <f>'FY27 Financial Forecast'!$J$37*$P44</f>
        <v>25350.014222954989</v>
      </c>
      <c r="G44" s="743"/>
      <c r="H44" s="753">
        <f>'FY27 Financial Forecast'!$K$37*$P44</f>
        <v>25983.764578528859</v>
      </c>
      <c r="I44" s="743"/>
      <c r="J44" s="753">
        <f>'FY27 Financial Forecast'!$L$37*$P44</f>
        <v>26633.358692992071</v>
      </c>
      <c r="K44" s="745"/>
      <c r="L44" s="743"/>
      <c r="M44" s="753">
        <f>'FY27 Financial Forecast'!$M$37*$P44</f>
        <v>27299.192660316876</v>
      </c>
      <c r="N44" s="753">
        <f t="shared" si="0"/>
        <v>129998.05134791962</v>
      </c>
      <c r="P44" s="765">
        <v>3.1290251852077902E-3</v>
      </c>
    </row>
    <row r="45" spans="1:16" x14ac:dyDescent="0.3">
      <c r="A45" s="82" t="s">
        <v>190</v>
      </c>
      <c r="B45" s="83">
        <v>9830</v>
      </c>
      <c r="C45" s="83" t="s">
        <v>191</v>
      </c>
      <c r="D45" s="753">
        <f>'FY27 Financial Forecast'!$I$37*P45</f>
        <v>4032.8437413227439</v>
      </c>
      <c r="E45" s="743"/>
      <c r="F45" s="753">
        <f>'FY27 Financial Forecast'!$J$37*$P45</f>
        <v>4133.6648348558119</v>
      </c>
      <c r="G45" s="743"/>
      <c r="H45" s="753">
        <f>'FY27 Financial Forecast'!$K$37*$P45</f>
        <v>4237.0064557272071</v>
      </c>
      <c r="I45" s="743"/>
      <c r="J45" s="753">
        <f>'FY27 Financial Forecast'!$L$37*$P45</f>
        <v>4342.9316171203864</v>
      </c>
      <c r="K45" s="745"/>
      <c r="L45" s="743"/>
      <c r="M45" s="753">
        <f>'FY27 Financial Forecast'!$M$37*$P45</f>
        <v>4451.5049075483957</v>
      </c>
      <c r="N45" s="753">
        <f t="shared" si="0"/>
        <v>21197.951556574542</v>
      </c>
      <c r="P45" s="765">
        <v>5.1023014274127353E-4</v>
      </c>
    </row>
    <row r="46" spans="1:16" x14ac:dyDescent="0.3">
      <c r="A46" s="82" t="s">
        <v>192</v>
      </c>
      <c r="B46" s="83">
        <v>9835</v>
      </c>
      <c r="C46" s="83" t="s">
        <v>193</v>
      </c>
      <c r="D46" s="753">
        <f>'FY27 Financial Forecast'!$I$37*P46</f>
        <v>5879.9947877362065</v>
      </c>
      <c r="E46" s="743"/>
      <c r="F46" s="753">
        <f>'FY27 Financial Forecast'!$J$37*$P46</f>
        <v>6026.9946574296118</v>
      </c>
      <c r="G46" s="743"/>
      <c r="H46" s="753">
        <f>'FY27 Financial Forecast'!$K$37*$P46</f>
        <v>6177.669523865351</v>
      </c>
      <c r="I46" s="743"/>
      <c r="J46" s="753">
        <f>'FY27 Financial Forecast'!$L$37*$P46</f>
        <v>6332.1112619619835</v>
      </c>
      <c r="K46" s="745"/>
      <c r="L46" s="743"/>
      <c r="M46" s="753">
        <f>'FY27 Financial Forecast'!$M$37*$P46</f>
        <v>6490.414043511033</v>
      </c>
      <c r="N46" s="753">
        <f t="shared" si="0"/>
        <v>30907.184274504187</v>
      </c>
      <c r="P46" s="765">
        <v>7.4392928967799811E-4</v>
      </c>
    </row>
    <row r="47" spans="1:16" x14ac:dyDescent="0.3">
      <c r="A47" s="82" t="s">
        <v>194</v>
      </c>
      <c r="B47" s="83">
        <v>9840</v>
      </c>
      <c r="C47" s="83" t="s">
        <v>195</v>
      </c>
      <c r="D47" s="753">
        <f>'FY27 Financial Forecast'!$I$37*P47</f>
        <v>52935.158893896398</v>
      </c>
      <c r="E47" s="743"/>
      <c r="F47" s="753">
        <f>'FY27 Financial Forecast'!$J$37*$P47</f>
        <v>54258.537866243809</v>
      </c>
      <c r="G47" s="743"/>
      <c r="H47" s="753">
        <f>'FY27 Financial Forecast'!$K$37*$P47</f>
        <v>55615.001312899891</v>
      </c>
      <c r="I47" s="743"/>
      <c r="J47" s="753">
        <f>'FY27 Financial Forecast'!$L$37*$P47</f>
        <v>57005.376345722376</v>
      </c>
      <c r="K47" s="745"/>
      <c r="L47" s="743"/>
      <c r="M47" s="753">
        <f>'FY27 Financial Forecast'!$M$37*$P47</f>
        <v>58430.510754365438</v>
      </c>
      <c r="N47" s="753">
        <f t="shared" si="0"/>
        <v>278244.58517312794</v>
      </c>
      <c r="P47" s="765">
        <v>6.6972874256729714E-3</v>
      </c>
    </row>
    <row r="48" spans="1:16" x14ac:dyDescent="0.3">
      <c r="A48" s="82" t="s">
        <v>196</v>
      </c>
      <c r="B48" s="83">
        <v>9845</v>
      </c>
      <c r="C48" s="83" t="s">
        <v>197</v>
      </c>
      <c r="D48" s="753">
        <f>'FY27 Financial Forecast'!$I$37*P48</f>
        <v>5681.2568148397595</v>
      </c>
      <c r="E48" s="743"/>
      <c r="F48" s="753">
        <f>'FY27 Financial Forecast'!$J$37*$P48</f>
        <v>5823.2882352107536</v>
      </c>
      <c r="G48" s="743"/>
      <c r="H48" s="753">
        <f>'FY27 Financial Forecast'!$K$37*$P48</f>
        <v>5968.8704410910213</v>
      </c>
      <c r="I48" s="743"/>
      <c r="J48" s="753">
        <f>'FY27 Financial Forecast'!$L$37*$P48</f>
        <v>6118.0922021182951</v>
      </c>
      <c r="K48" s="745"/>
      <c r="L48" s="743"/>
      <c r="M48" s="753">
        <f>'FY27 Financial Forecast'!$M$37*$P48</f>
        <v>6271.0445071712529</v>
      </c>
      <c r="N48" s="753">
        <f t="shared" si="0"/>
        <v>29862.552200431084</v>
      </c>
      <c r="P48" s="765">
        <v>7.1878521993881043E-4</v>
      </c>
    </row>
    <row r="49" spans="1:17" x14ac:dyDescent="0.3">
      <c r="A49" s="82" t="s">
        <v>198</v>
      </c>
      <c r="B49" s="83">
        <v>9850</v>
      </c>
      <c r="C49" s="83" t="s">
        <v>199</v>
      </c>
      <c r="D49" s="753">
        <f>'FY27 Financial Forecast'!$I$37*P49</f>
        <v>2723.5626037344095</v>
      </c>
      <c r="E49" s="743"/>
      <c r="F49" s="753">
        <f>'FY27 Financial Forecast'!$J$37*$P49</f>
        <v>2791.6516688277702</v>
      </c>
      <c r="G49" s="743"/>
      <c r="H49" s="753">
        <f>'FY27 Financial Forecast'!$K$37*$P49</f>
        <v>2861.4429605484638</v>
      </c>
      <c r="I49" s="743"/>
      <c r="J49" s="753">
        <f>'FY27 Financial Forecast'!$L$37*$P49</f>
        <v>2932.9790345621745</v>
      </c>
      <c r="K49" s="745"/>
      <c r="L49" s="743"/>
      <c r="M49" s="753">
        <f>'FY27 Financial Forecast'!$M$37*$P49</f>
        <v>3006.303510426229</v>
      </c>
      <c r="N49" s="753">
        <f t="shared" si="0"/>
        <v>14315.939778099048</v>
      </c>
      <c r="P49" s="765">
        <v>3.4458159680950329E-4</v>
      </c>
    </row>
    <row r="50" spans="1:17" x14ac:dyDescent="0.3">
      <c r="A50" s="82" t="s">
        <v>200</v>
      </c>
      <c r="B50" s="83">
        <v>9855</v>
      </c>
      <c r="C50" s="83" t="s">
        <v>201</v>
      </c>
      <c r="D50" s="753">
        <f>'FY27 Financial Forecast'!$I$37*P50</f>
        <v>10618.491737801171</v>
      </c>
      <c r="E50" s="743"/>
      <c r="F50" s="753">
        <f>'FY27 Financial Forecast'!$J$37*$P50</f>
        <v>10883.9540312462</v>
      </c>
      <c r="G50" s="743"/>
      <c r="H50" s="753">
        <f>'FY27 Financial Forecast'!$K$37*$P50</f>
        <v>11156.052882027352</v>
      </c>
      <c r="I50" s="743"/>
      <c r="J50" s="753">
        <f>'FY27 Financial Forecast'!$L$37*$P50</f>
        <v>11434.954204078034</v>
      </c>
      <c r="K50" s="745"/>
      <c r="L50" s="743"/>
      <c r="M50" s="753">
        <f>'FY27 Financial Forecast'!$M$37*$P50</f>
        <v>11720.828059179985</v>
      </c>
      <c r="N50" s="753">
        <f t="shared" si="0"/>
        <v>55814.280914332747</v>
      </c>
      <c r="P50" s="765">
        <v>1.3434377582153235E-3</v>
      </c>
    </row>
    <row r="51" spans="1:17" x14ac:dyDescent="0.3">
      <c r="A51" s="82" t="s">
        <v>202</v>
      </c>
      <c r="B51" s="83">
        <v>9860</v>
      </c>
      <c r="C51" s="83" t="s">
        <v>203</v>
      </c>
      <c r="D51" s="753">
        <f>'FY27 Financial Forecast'!$I$37*P51</f>
        <v>7077.7824350053024</v>
      </c>
      <c r="E51" s="743"/>
      <c r="F51" s="753">
        <f>'FY27 Financial Forecast'!$J$37*$P51</f>
        <v>7254.7269958804354</v>
      </c>
      <c r="G51" s="743"/>
      <c r="H51" s="753">
        <f>'FY27 Financial Forecast'!$K$37*$P51</f>
        <v>7436.0951707774448</v>
      </c>
      <c r="I51" s="743"/>
      <c r="J51" s="753">
        <f>'FY27 Financial Forecast'!$L$37*$P51</f>
        <v>7621.997550046879</v>
      </c>
      <c r="K51" s="745"/>
      <c r="L51" s="743"/>
      <c r="M51" s="753">
        <f>'FY27 Financial Forecast'!$M$37*$P51</f>
        <v>7812.5474887980508</v>
      </c>
      <c r="N51" s="753">
        <f t="shared" si="0"/>
        <v>37203.149640508112</v>
      </c>
      <c r="P51" s="765">
        <v>8.9547182428644119E-4</v>
      </c>
    </row>
    <row r="52" spans="1:17" x14ac:dyDescent="0.3">
      <c r="A52" s="82" t="s">
        <v>204</v>
      </c>
      <c r="B52" s="83">
        <v>9865</v>
      </c>
      <c r="C52" s="83" t="s">
        <v>205</v>
      </c>
      <c r="D52" s="753">
        <f>'FY27 Financial Forecast'!$I$37*P52</f>
        <v>3741.3598069747959</v>
      </c>
      <c r="E52" s="743"/>
      <c r="F52" s="753">
        <f>'FY27 Financial Forecast'!$J$37*$P52</f>
        <v>3834.8938021491658</v>
      </c>
      <c r="G52" s="743"/>
      <c r="H52" s="753">
        <f>'FY27 Financial Forecast'!$K$37*$P52</f>
        <v>3930.7661472028944</v>
      </c>
      <c r="I52" s="743"/>
      <c r="J52" s="753">
        <f>'FY27 Financial Forecast'!$L$37*$P52</f>
        <v>4029.0353008829657</v>
      </c>
      <c r="K52" s="745"/>
      <c r="L52" s="743"/>
      <c r="M52" s="753">
        <f>'FY27 Financial Forecast'!$M$37*$P52</f>
        <v>4129.7611834050404</v>
      </c>
      <c r="N52" s="753">
        <f t="shared" si="0"/>
        <v>19665.816240614862</v>
      </c>
      <c r="P52" s="765">
        <v>4.7335197463740323E-4</v>
      </c>
    </row>
    <row r="53" spans="1:17" x14ac:dyDescent="0.3">
      <c r="A53" s="82" t="s">
        <v>206</v>
      </c>
      <c r="D53" s="753">
        <f>'FY27 Financial Forecast'!$I$37*P53</f>
        <v>0</v>
      </c>
      <c r="E53" s="743"/>
      <c r="F53" s="753">
        <f>'FY27 Financial Forecast'!$J$37*$P53</f>
        <v>0</v>
      </c>
      <c r="G53" s="743"/>
      <c r="H53" s="753">
        <f>'FY27 Financial Forecast'!$K$37*$P53</f>
        <v>0</v>
      </c>
      <c r="I53" s="743"/>
      <c r="J53" s="753">
        <f>'FY27 Financial Forecast'!$L$37*$P53</f>
        <v>0</v>
      </c>
      <c r="K53" s="745"/>
      <c r="L53" s="743"/>
      <c r="M53" s="753">
        <f>'FY27 Financial Forecast'!$M$37*$P53</f>
        <v>0</v>
      </c>
      <c r="N53" s="753">
        <f t="shared" si="0"/>
        <v>0</v>
      </c>
      <c r="P53" s="765"/>
    </row>
    <row r="54" spans="1:17" x14ac:dyDescent="0.3">
      <c r="A54" s="82" t="s">
        <v>207</v>
      </c>
      <c r="B54" s="83">
        <v>8850</v>
      </c>
      <c r="C54" s="83" t="s">
        <v>208</v>
      </c>
      <c r="D54" s="753">
        <f>'FY27 Financial Forecast'!$I$37*P54</f>
        <v>0</v>
      </c>
      <c r="E54" s="743"/>
      <c r="F54" s="753">
        <f>'FY27 Financial Forecast'!$J$37*$P54</f>
        <v>0</v>
      </c>
      <c r="G54" s="743"/>
      <c r="H54" s="753">
        <f>'FY27 Financial Forecast'!$K$37*$P54</f>
        <v>0</v>
      </c>
      <c r="I54" s="743"/>
      <c r="J54" s="753">
        <f>'FY27 Financial Forecast'!$L$37*$P54</f>
        <v>0</v>
      </c>
      <c r="K54" s="745"/>
      <c r="L54" s="743"/>
      <c r="M54" s="753">
        <f>'FY27 Financial Forecast'!$M$37*$P54</f>
        <v>0</v>
      </c>
      <c r="N54" s="753">
        <f t="shared" si="0"/>
        <v>0</v>
      </c>
      <c r="P54" s="765">
        <v>0</v>
      </c>
    </row>
    <row r="55" spans="1:17" x14ac:dyDescent="0.3">
      <c r="A55" s="82" t="s">
        <v>209</v>
      </c>
      <c r="B55" s="83">
        <v>8855</v>
      </c>
      <c r="C55" s="83" t="s">
        <v>210</v>
      </c>
      <c r="D55" s="753">
        <f>'FY27 Financial Forecast'!$I$37*P55</f>
        <v>0</v>
      </c>
      <c r="E55" s="743"/>
      <c r="F55" s="753">
        <f>'FY27 Financial Forecast'!$J$37*$P55</f>
        <v>0</v>
      </c>
      <c r="G55" s="743"/>
      <c r="H55" s="753">
        <f>'FY27 Financial Forecast'!$K$37*$P55</f>
        <v>0</v>
      </c>
      <c r="I55" s="743"/>
      <c r="J55" s="753">
        <f>'FY27 Financial Forecast'!$L$37*$P55</f>
        <v>0</v>
      </c>
      <c r="K55" s="745"/>
      <c r="L55" s="743"/>
      <c r="M55" s="753">
        <f>'FY27 Financial Forecast'!$M$37*$P55</f>
        <v>0</v>
      </c>
      <c r="N55" s="753">
        <f t="shared" si="0"/>
        <v>0</v>
      </c>
      <c r="P55" s="765">
        <v>0</v>
      </c>
    </row>
    <row r="56" spans="1:17" x14ac:dyDescent="0.3">
      <c r="A56" s="82" t="s">
        <v>211</v>
      </c>
      <c r="B56" s="83">
        <v>9931</v>
      </c>
      <c r="C56" s="83" t="s">
        <v>212</v>
      </c>
      <c r="D56" s="753">
        <f>'FY27 Financial Forecast'!$I$37*P56</f>
        <v>189292.52395673154</v>
      </c>
      <c r="E56" s="743"/>
      <c r="F56" s="753">
        <f>'FY27 Financial Forecast'!$J$37*$P56</f>
        <v>194024.83705564981</v>
      </c>
      <c r="G56" s="743"/>
      <c r="H56" s="753">
        <f>'FY27 Financial Forecast'!$K$37*$P56</f>
        <v>198875.45798204103</v>
      </c>
      <c r="I56" s="743"/>
      <c r="J56" s="753">
        <f>'FY27 Financial Forecast'!$L$37*$P56</f>
        <v>203847.34443159201</v>
      </c>
      <c r="K56" s="745"/>
      <c r="L56" s="743"/>
      <c r="M56" s="753">
        <f>'FY27 Financial Forecast'!$M$37*$P56</f>
        <v>208943.5280423818</v>
      </c>
      <c r="N56" s="753">
        <f t="shared" si="0"/>
        <v>994983.69146839622</v>
      </c>
      <c r="P56" s="765">
        <v>2.3949043829459313E-2</v>
      </c>
    </row>
    <row r="57" spans="1:17" x14ac:dyDescent="0.3">
      <c r="A57" s="82" t="s">
        <v>213</v>
      </c>
      <c r="B57" s="83">
        <v>9932</v>
      </c>
      <c r="C57" s="83" t="s">
        <v>214</v>
      </c>
      <c r="D57" s="753">
        <f>'FY27 Financial Forecast'!$I$37*P57</f>
        <v>37847.955174346178</v>
      </c>
      <c r="E57" s="743"/>
      <c r="F57" s="753">
        <f>'FY27 Financial Forecast'!$J$37*$P57</f>
        <v>38794.154053704835</v>
      </c>
      <c r="G57" s="743"/>
      <c r="H57" s="753">
        <f>'FY27 Financial Forecast'!$K$37*$P57</f>
        <v>39764.007905047445</v>
      </c>
      <c r="I57" s="743"/>
      <c r="J57" s="753">
        <f>'FY27 Financial Forecast'!$L$37*$P57</f>
        <v>40758.108102673621</v>
      </c>
      <c r="K57" s="745"/>
      <c r="L57" s="743"/>
      <c r="M57" s="753">
        <f>'FY27 Financial Forecast'!$M$37*$P57</f>
        <v>41777.060805240464</v>
      </c>
      <c r="N57" s="753">
        <f t="shared" si="0"/>
        <v>198941.28604101256</v>
      </c>
      <c r="P57" s="765">
        <v>4.7884740420758402E-3</v>
      </c>
    </row>
    <row r="58" spans="1:17" x14ac:dyDescent="0.3">
      <c r="A58" s="82" t="s">
        <v>215</v>
      </c>
      <c r="B58" s="83">
        <v>9933</v>
      </c>
      <c r="C58" s="83" t="s">
        <v>216</v>
      </c>
      <c r="D58" s="753">
        <f>'FY27 Financial Forecast'!$I$37*P58</f>
        <v>88809.735957185592</v>
      </c>
      <c r="E58" s="743"/>
      <c r="F58" s="753">
        <f>'FY27 Financial Forecast'!$J$37*$P58</f>
        <v>91029.979356115218</v>
      </c>
      <c r="G58" s="743"/>
      <c r="H58" s="753">
        <f>'FY27 Financial Forecast'!$K$37*$P58</f>
        <v>93305.728840018084</v>
      </c>
      <c r="I58" s="743"/>
      <c r="J58" s="753">
        <f>'FY27 Financial Forecast'!$L$37*$P58</f>
        <v>95638.372061018512</v>
      </c>
      <c r="K58" s="745"/>
      <c r="L58" s="743"/>
      <c r="M58" s="753">
        <f>'FY27 Financial Forecast'!$M$37*$P58</f>
        <v>98029.331362543991</v>
      </c>
      <c r="N58" s="753">
        <f t="shared" si="0"/>
        <v>466813.14757688134</v>
      </c>
      <c r="P58" s="765">
        <v>1.123609223683612E-2</v>
      </c>
    </row>
    <row r="59" spans="1:17" x14ac:dyDescent="0.3">
      <c r="A59" s="82" t="s">
        <v>217</v>
      </c>
      <c r="B59" s="83">
        <v>9934</v>
      </c>
      <c r="C59" s="83" t="s">
        <v>218</v>
      </c>
      <c r="D59" s="753">
        <f>'FY27 Financial Forecast'!$I$37*P59</f>
        <v>136507.36890527458</v>
      </c>
      <c r="E59" s="743"/>
      <c r="F59" s="753">
        <f>'FY27 Financial Forecast'!$J$37*$P59</f>
        <v>139920.05312790643</v>
      </c>
      <c r="G59" s="743"/>
      <c r="H59" s="753">
        <f>'FY27 Financial Forecast'!$K$37*$P59</f>
        <v>143418.05445610406</v>
      </c>
      <c r="I59" s="743"/>
      <c r="J59" s="753">
        <f>'FY27 Financial Forecast'!$L$37*$P59</f>
        <v>147003.50581750664</v>
      </c>
      <c r="K59" s="745"/>
      <c r="L59" s="743"/>
      <c r="M59" s="753">
        <f>'FY27 Financial Forecast'!$M$37*$P59</f>
        <v>150678.59346294429</v>
      </c>
      <c r="N59" s="753">
        <f t="shared" si="0"/>
        <v>717527.57576973597</v>
      </c>
      <c r="P59" s="765">
        <v>1.7270734694751443E-2</v>
      </c>
    </row>
    <row r="60" spans="1:17" x14ac:dyDescent="0.3">
      <c r="A60" s="82" t="s">
        <v>219</v>
      </c>
      <c r="B60" s="83">
        <v>9935</v>
      </c>
      <c r="C60" s="83" t="s">
        <v>220</v>
      </c>
      <c r="D60" s="753">
        <f>'FY27 Financial Forecast'!$I$37*P60</f>
        <v>14626.472572451705</v>
      </c>
      <c r="E60" s="743"/>
      <c r="F60" s="753">
        <f>'FY27 Financial Forecast'!$J$37*$P60</f>
        <v>14992.134386762997</v>
      </c>
      <c r="G60" s="743"/>
      <c r="H60" s="753">
        <f>'FY27 Financial Forecast'!$K$37*$P60</f>
        <v>15366.937746432068</v>
      </c>
      <c r="I60" s="743"/>
      <c r="J60" s="753">
        <f>'FY27 Financial Forecast'!$L$37*$P60</f>
        <v>15751.111190092866</v>
      </c>
      <c r="K60" s="745"/>
      <c r="L60" s="743"/>
      <c r="M60" s="753">
        <f>'FY27 Financial Forecast'!$M$37*$P60</f>
        <v>16144.888969845189</v>
      </c>
      <c r="N60" s="753">
        <f t="shared" si="0"/>
        <v>76881.544865584816</v>
      </c>
      <c r="P60" s="765">
        <v>1.8505222783552701E-3</v>
      </c>
    </row>
    <row r="61" spans="1:17" x14ac:dyDescent="0.3">
      <c r="A61" s="82" t="s">
        <v>221</v>
      </c>
      <c r="B61" s="83">
        <v>9936</v>
      </c>
      <c r="C61" s="83" t="s">
        <v>222</v>
      </c>
      <c r="D61" s="753">
        <f>'FY27 Financial Forecast'!$I$37*P61</f>
        <v>53465.331454597028</v>
      </c>
      <c r="E61" s="743"/>
      <c r="F61" s="753">
        <f>'FY27 Financial Forecast'!$J$37*$P61</f>
        <v>54801.964740961957</v>
      </c>
      <c r="G61" s="743"/>
      <c r="H61" s="753">
        <f>'FY27 Financial Forecast'!$K$37*$P61</f>
        <v>56172.013859485996</v>
      </c>
      <c r="I61" s="743"/>
      <c r="J61" s="753">
        <f>'FY27 Financial Forecast'!$L$37*$P61</f>
        <v>57576.314205973133</v>
      </c>
      <c r="K61" s="745"/>
      <c r="L61" s="743"/>
      <c r="M61" s="753">
        <f>'FY27 Financial Forecast'!$M$37*$P61</f>
        <v>59015.722061122462</v>
      </c>
      <c r="N61" s="753">
        <f t="shared" si="0"/>
        <v>281031.3463221406</v>
      </c>
      <c r="P61" s="765">
        <v>6.7643641682087648E-3</v>
      </c>
    </row>
    <row r="62" spans="1:17" x14ac:dyDescent="0.3">
      <c r="A62" s="82" t="s">
        <v>223</v>
      </c>
      <c r="B62" s="83">
        <v>9945</v>
      </c>
      <c r="C62" s="83" t="s">
        <v>224</v>
      </c>
      <c r="D62" s="753">
        <f>'FY27 Financial Forecast'!$I$37*P62</f>
        <v>105900.94189980981</v>
      </c>
      <c r="E62" s="743"/>
      <c r="F62" s="753">
        <f>'FY27 Financial Forecast'!$J$37*$P62</f>
        <v>108548.46544730506</v>
      </c>
      <c r="G62" s="743"/>
      <c r="H62" s="753">
        <f>'FY27 Financial Forecast'!$K$37*$P62</f>
        <v>111262.17708348767</v>
      </c>
      <c r="I62" s="743"/>
      <c r="J62" s="753">
        <f>'FY27 Financial Forecast'!$L$37*$P62</f>
        <v>114043.73151057483</v>
      </c>
      <c r="K62" s="745"/>
      <c r="L62" s="743"/>
      <c r="M62" s="753">
        <f>'FY27 Financial Forecast'!$M$37*$P62</f>
        <v>116894.82479833921</v>
      </c>
      <c r="N62" s="753">
        <f t="shared" si="0"/>
        <v>556650.14073951659</v>
      </c>
      <c r="P62" s="765">
        <v>1.3398449374151194E-2</v>
      </c>
    </row>
    <row r="63" spans="1:17" ht="15" thickBot="1" x14ac:dyDescent="0.35">
      <c r="A63" s="82" t="s">
        <v>225</v>
      </c>
      <c r="D63" s="753">
        <f>'FY27 Financial Forecast'!$I$37*P63</f>
        <v>0</v>
      </c>
      <c r="E63" s="743"/>
      <c r="F63" s="753">
        <f>'FY27 Financial Forecast'!$J$37*$P63</f>
        <v>0</v>
      </c>
      <c r="G63" s="743"/>
      <c r="H63" s="753">
        <f>'FY27 Financial Forecast'!$K$37*$P63</f>
        <v>0</v>
      </c>
      <c r="I63" s="743"/>
      <c r="J63" s="753">
        <f>'FY27 Financial Forecast'!$L$37*$P63</f>
        <v>0</v>
      </c>
      <c r="K63" s="745"/>
      <c r="L63" s="743"/>
      <c r="M63" s="753">
        <f>'FY27 Financial Forecast'!$M$37*$P63</f>
        <v>0</v>
      </c>
      <c r="N63" s="753">
        <f t="shared" si="0"/>
        <v>0</v>
      </c>
      <c r="P63" s="765">
        <v>0</v>
      </c>
    </row>
    <row r="64" spans="1:17" ht="15" thickBot="1" x14ac:dyDescent="0.35">
      <c r="A64" s="82" t="s">
        <v>226</v>
      </c>
      <c r="B64" s="100" t="s">
        <v>474</v>
      </c>
      <c r="C64" s="101"/>
      <c r="D64" s="755">
        <f>SUM(D7:D63)</f>
        <v>7903969.9999999963</v>
      </c>
      <c r="E64" s="747"/>
      <c r="F64" s="755">
        <f>SUM(F7:F63)</f>
        <v>8101569.2499999991</v>
      </c>
      <c r="G64" s="748"/>
      <c r="H64" s="755">
        <f>SUM(H9:H63)</f>
        <v>8304108.4812499965</v>
      </c>
      <c r="I64" s="748"/>
      <c r="J64" s="755">
        <f>SUM(J9:J63)</f>
        <v>8511711.1932812426</v>
      </c>
      <c r="K64" s="749"/>
      <c r="L64" s="748"/>
      <c r="M64" s="755">
        <f>SUM(M9:M63)</f>
        <v>8724503.9731132798</v>
      </c>
      <c r="N64" s="755">
        <f>SUM(N9:N63)</f>
        <v>41545862.897644505</v>
      </c>
      <c r="O64" s="90"/>
      <c r="P64" s="762">
        <f>SUM(P7:P63)</f>
        <v>1</v>
      </c>
      <c r="Q64" s="90"/>
    </row>
    <row r="65" spans="1:17" x14ac:dyDescent="0.3">
      <c r="A65" s="82" t="s">
        <v>227</v>
      </c>
      <c r="D65" s="753"/>
      <c r="E65" s="743"/>
      <c r="F65" s="753"/>
      <c r="G65" s="743"/>
      <c r="H65" s="753"/>
      <c r="I65" s="743"/>
      <c r="J65" s="753"/>
      <c r="K65" s="745"/>
      <c r="L65" s="743"/>
      <c r="M65" s="753"/>
      <c r="N65" s="753"/>
    </row>
    <row r="66" spans="1:17" x14ac:dyDescent="0.3">
      <c r="A66" s="82" t="s">
        <v>228</v>
      </c>
      <c r="B66" s="90" t="s">
        <v>475</v>
      </c>
      <c r="C66" s="90"/>
      <c r="D66" s="756"/>
      <c r="E66" s="748"/>
      <c r="F66" s="756"/>
      <c r="G66" s="748"/>
      <c r="H66" s="756"/>
      <c r="I66" s="748"/>
      <c r="J66" s="756"/>
      <c r="K66" s="749"/>
      <c r="L66" s="748"/>
      <c r="M66" s="756"/>
      <c r="N66" s="756"/>
      <c r="O66" s="90"/>
      <c r="P66" s="90"/>
      <c r="Q66" s="90"/>
    </row>
    <row r="67" spans="1:17" x14ac:dyDescent="0.3">
      <c r="A67" s="82" t="s">
        <v>229</v>
      </c>
      <c r="C67" s="83" t="s">
        <v>243</v>
      </c>
      <c r="D67" s="753"/>
      <c r="E67" s="743"/>
      <c r="F67" s="753">
        <v>0</v>
      </c>
      <c r="G67" s="743"/>
      <c r="H67" s="753">
        <v>0</v>
      </c>
      <c r="I67" s="743"/>
      <c r="J67" s="753"/>
      <c r="K67" s="745"/>
      <c r="L67" s="750"/>
      <c r="M67" s="753"/>
      <c r="N67" s="753"/>
    </row>
    <row r="68" spans="1:17" x14ac:dyDescent="0.3">
      <c r="A68" s="82" t="s">
        <v>230</v>
      </c>
      <c r="C68" s="83" t="s">
        <v>244</v>
      </c>
      <c r="D68" s="753"/>
      <c r="E68" s="743"/>
      <c r="F68" s="753">
        <v>0</v>
      </c>
      <c r="G68" s="743"/>
      <c r="H68" s="753">
        <v>0</v>
      </c>
      <c r="I68" s="743"/>
      <c r="J68" s="753"/>
      <c r="K68" s="745"/>
      <c r="L68" s="750"/>
      <c r="M68" s="753"/>
      <c r="N68" s="753"/>
    </row>
    <row r="69" spans="1:17" x14ac:dyDescent="0.3">
      <c r="A69" s="82" t="s">
        <v>231</v>
      </c>
      <c r="C69" s="83" t="s">
        <v>232</v>
      </c>
      <c r="D69" s="753"/>
      <c r="E69" s="743"/>
      <c r="F69" s="753">
        <v>0</v>
      </c>
      <c r="G69" s="743"/>
      <c r="H69" s="753">
        <v>0</v>
      </c>
      <c r="I69" s="743"/>
      <c r="J69" s="753"/>
      <c r="K69" s="745"/>
      <c r="L69" s="750"/>
      <c r="M69" s="753"/>
      <c r="N69" s="753"/>
    </row>
    <row r="70" spans="1:17" x14ac:dyDescent="0.3">
      <c r="A70" s="82" t="s">
        <v>233</v>
      </c>
      <c r="C70" s="83" t="s">
        <v>465</v>
      </c>
      <c r="D70" s="753"/>
      <c r="E70" s="743"/>
      <c r="F70" s="753">
        <v>0</v>
      </c>
      <c r="G70" s="743"/>
      <c r="H70" s="753">
        <v>0</v>
      </c>
      <c r="I70" s="743"/>
      <c r="J70" s="753"/>
      <c r="K70" s="745"/>
      <c r="L70" s="750"/>
      <c r="M70" s="753"/>
      <c r="N70" s="753"/>
    </row>
    <row r="71" spans="1:17" x14ac:dyDescent="0.3">
      <c r="A71" s="82" t="s">
        <v>234</v>
      </c>
      <c r="C71" s="83" t="s">
        <v>466</v>
      </c>
      <c r="D71" s="753"/>
      <c r="E71" s="743"/>
      <c r="F71" s="753">
        <v>0</v>
      </c>
      <c r="G71" s="743"/>
      <c r="H71" s="753">
        <v>0</v>
      </c>
      <c r="I71" s="743"/>
      <c r="J71" s="753"/>
      <c r="K71" s="745"/>
      <c r="L71" s="743"/>
      <c r="M71" s="753"/>
      <c r="N71" s="753"/>
    </row>
    <row r="72" spans="1:17" x14ac:dyDescent="0.3">
      <c r="A72" s="82" t="s">
        <v>235</v>
      </c>
      <c r="C72" s="83" t="s">
        <v>236</v>
      </c>
      <c r="D72" s="753"/>
      <c r="E72" s="743"/>
      <c r="F72" s="753">
        <v>0</v>
      </c>
      <c r="G72" s="743"/>
      <c r="H72" s="753">
        <v>0</v>
      </c>
      <c r="I72" s="743"/>
      <c r="J72" s="753"/>
      <c r="K72" s="745"/>
      <c r="L72" s="750"/>
      <c r="M72" s="753"/>
      <c r="N72" s="753"/>
    </row>
    <row r="73" spans="1:17" x14ac:dyDescent="0.3">
      <c r="A73" s="82" t="s">
        <v>237</v>
      </c>
      <c r="C73" s="83" t="s">
        <v>238</v>
      </c>
      <c r="D73" s="757"/>
      <c r="E73" s="743"/>
      <c r="F73" s="757">
        <v>0</v>
      </c>
      <c r="G73" s="743"/>
      <c r="H73" s="757">
        <v>0</v>
      </c>
      <c r="I73" s="743"/>
      <c r="J73" s="757"/>
      <c r="K73" s="745"/>
      <c r="L73" s="750"/>
      <c r="M73" s="757"/>
      <c r="N73" s="757"/>
    </row>
    <row r="74" spans="1:17" x14ac:dyDescent="0.3">
      <c r="A74" s="82" t="s">
        <v>239</v>
      </c>
      <c r="C74" s="83" t="s">
        <v>117</v>
      </c>
      <c r="D74" s="753"/>
      <c r="E74" s="743"/>
      <c r="F74" s="753">
        <f>SUM(F67:F73)</f>
        <v>0</v>
      </c>
      <c r="G74" s="743"/>
      <c r="H74" s="753">
        <f>SUM(H67:H73)</f>
        <v>0</v>
      </c>
      <c r="I74" s="743"/>
      <c r="J74" s="753">
        <f>SUM(J67:J73)</f>
        <v>0</v>
      </c>
      <c r="K74" s="745"/>
      <c r="L74" s="750"/>
      <c r="M74" s="753">
        <f>SUM(M67:M73)</f>
        <v>0</v>
      </c>
      <c r="N74" s="753">
        <f>SUM(N67:N73)</f>
        <v>0</v>
      </c>
    </row>
    <row r="75" spans="1:17" x14ac:dyDescent="0.3">
      <c r="A75" s="82" t="s">
        <v>240</v>
      </c>
      <c r="D75" s="753"/>
      <c r="E75" s="743"/>
      <c r="F75" s="753"/>
      <c r="G75" s="743"/>
      <c r="H75" s="753"/>
      <c r="I75" s="743"/>
      <c r="J75" s="753"/>
      <c r="K75" s="745"/>
      <c r="L75" s="750"/>
      <c r="M75" s="753"/>
      <c r="N75" s="753"/>
    </row>
    <row r="76" spans="1:17" ht="15" thickBot="1" x14ac:dyDescent="0.35">
      <c r="A76" s="82" t="s">
        <v>241</v>
      </c>
      <c r="C76" s="102"/>
      <c r="D76" s="753"/>
      <c r="E76" s="743"/>
      <c r="F76" s="753"/>
      <c r="G76" s="743"/>
      <c r="H76" s="753"/>
      <c r="I76" s="743"/>
      <c r="J76" s="753"/>
      <c r="K76" s="745"/>
      <c r="L76" s="750"/>
      <c r="M76" s="753"/>
      <c r="N76" s="753"/>
    </row>
    <row r="77" spans="1:17" ht="15" thickBot="1" x14ac:dyDescent="0.35">
      <c r="A77" s="82" t="s">
        <v>242</v>
      </c>
      <c r="B77" s="100" t="s">
        <v>467</v>
      </c>
      <c r="C77" s="101"/>
      <c r="D77" s="755">
        <f>SUM(D74:D75)</f>
        <v>0</v>
      </c>
      <c r="E77" s="748"/>
      <c r="F77" s="755">
        <f>SUM(F74:F75)</f>
        <v>0</v>
      </c>
      <c r="G77" s="748"/>
      <c r="H77" s="755">
        <f>SUM(H74:H75)</f>
        <v>0</v>
      </c>
      <c r="I77" s="748"/>
      <c r="J77" s="755">
        <f>SUM(J74:J75)</f>
        <v>0</v>
      </c>
      <c r="K77" s="749"/>
      <c r="L77" s="751"/>
      <c r="M77" s="755">
        <f>SUM(M74:M75)</f>
        <v>0</v>
      </c>
      <c r="N77" s="755">
        <f>SUM(N74:N75)</f>
        <v>0</v>
      </c>
      <c r="O77" s="90"/>
      <c r="P77" s="90"/>
      <c r="Q77" s="90"/>
    </row>
    <row r="78" spans="1:17" x14ac:dyDescent="0.3">
      <c r="A78" s="83"/>
      <c r="E78" s="87"/>
      <c r="F78" s="87"/>
      <c r="G78" s="87"/>
      <c r="H78" s="87"/>
      <c r="I78" s="87"/>
      <c r="J78" s="87"/>
      <c r="M78" s="87"/>
      <c r="N78" s="87"/>
    </row>
    <row r="79" spans="1:17" x14ac:dyDescent="0.3">
      <c r="E79" s="87"/>
      <c r="F79" s="87"/>
      <c r="G79" s="87"/>
      <c r="H79" s="87"/>
      <c r="I79" s="87"/>
      <c r="J79" s="87"/>
      <c r="M79" s="87"/>
      <c r="N79" s="87"/>
    </row>
    <row r="80" spans="1:17" x14ac:dyDescent="0.3">
      <c r="E80" s="87"/>
      <c r="F80" s="87"/>
      <c r="G80" s="87"/>
      <c r="H80" s="87"/>
      <c r="I80" s="87"/>
      <c r="J80" s="87"/>
      <c r="M80" s="87"/>
      <c r="N80" s="87"/>
    </row>
    <row r="81" spans="5:14" x14ac:dyDescent="0.3">
      <c r="E81" s="87"/>
      <c r="F81" s="87"/>
      <c r="G81" s="87"/>
      <c r="H81" s="87"/>
      <c r="I81" s="87"/>
      <c r="J81" s="87"/>
      <c r="M81" s="87"/>
      <c r="N81" s="87"/>
    </row>
    <row r="82" spans="5:14" x14ac:dyDescent="0.3">
      <c r="E82" s="87"/>
      <c r="F82" s="87"/>
      <c r="G82" s="87"/>
      <c r="H82" s="87"/>
      <c r="I82" s="87"/>
      <c r="J82" s="87"/>
      <c r="M82" s="87"/>
      <c r="N82" s="87"/>
    </row>
    <row r="83" spans="5:14" x14ac:dyDescent="0.3">
      <c r="E83" s="87"/>
      <c r="F83" s="87"/>
      <c r="G83" s="87"/>
      <c r="H83" s="87"/>
      <c r="I83" s="87"/>
      <c r="J83" s="87"/>
      <c r="M83" s="87"/>
      <c r="N83" s="87"/>
    </row>
    <row r="84" spans="5:14" x14ac:dyDescent="0.3">
      <c r="E84" s="87"/>
      <c r="F84" s="87"/>
      <c r="G84" s="87"/>
      <c r="H84" s="87"/>
      <c r="I84" s="87"/>
      <c r="J84" s="87"/>
      <c r="M84" s="87"/>
      <c r="N84" s="87"/>
    </row>
    <row r="85" spans="5:14" x14ac:dyDescent="0.3">
      <c r="E85" s="87"/>
      <c r="F85" s="87"/>
      <c r="G85" s="87"/>
      <c r="H85" s="87"/>
      <c r="I85" s="87"/>
      <c r="J85" s="87"/>
      <c r="M85" s="87"/>
      <c r="N85" s="87"/>
    </row>
    <row r="86" spans="5:14" x14ac:dyDescent="0.3">
      <c r="E86" s="87"/>
      <c r="F86" s="87"/>
      <c r="G86" s="87"/>
      <c r="H86" s="87"/>
      <c r="I86" s="87"/>
      <c r="J86" s="87"/>
      <c r="M86" s="87"/>
      <c r="N86" s="87"/>
    </row>
    <row r="87" spans="5:14" x14ac:dyDescent="0.3">
      <c r="E87" s="87"/>
      <c r="F87" s="87"/>
      <c r="G87" s="87"/>
      <c r="H87" s="87"/>
      <c r="I87" s="87"/>
      <c r="J87" s="87"/>
      <c r="M87" s="87"/>
      <c r="N87" s="87"/>
    </row>
    <row r="88" spans="5:14" x14ac:dyDescent="0.3">
      <c r="E88" s="87"/>
      <c r="F88" s="87"/>
      <c r="G88" s="87"/>
      <c r="H88" s="87"/>
      <c r="I88" s="87"/>
      <c r="J88" s="87"/>
      <c r="M88" s="87"/>
      <c r="N88" s="87"/>
    </row>
    <row r="89" spans="5:14" x14ac:dyDescent="0.3">
      <c r="E89" s="87"/>
      <c r="F89" s="87"/>
      <c r="G89" s="87"/>
      <c r="H89" s="87"/>
      <c r="I89" s="87"/>
      <c r="J89" s="87"/>
      <c r="M89" s="87"/>
      <c r="N89" s="87"/>
    </row>
    <row r="90" spans="5:14" x14ac:dyDescent="0.3">
      <c r="E90" s="87"/>
      <c r="F90" s="87"/>
      <c r="G90" s="87"/>
      <c r="H90" s="87"/>
      <c r="I90" s="87"/>
      <c r="J90" s="87"/>
      <c r="M90" s="87"/>
      <c r="N90" s="87"/>
    </row>
    <row r="91" spans="5:14" x14ac:dyDescent="0.3">
      <c r="E91" s="87"/>
      <c r="F91" s="87"/>
      <c r="G91" s="87"/>
      <c r="H91" s="87"/>
      <c r="I91" s="87"/>
      <c r="J91" s="87"/>
      <c r="M91" s="87"/>
      <c r="N91" s="87"/>
    </row>
    <row r="92" spans="5:14" x14ac:dyDescent="0.3">
      <c r="E92" s="87"/>
      <c r="F92" s="87"/>
      <c r="G92" s="87"/>
      <c r="H92" s="87"/>
      <c r="I92" s="87"/>
      <c r="J92" s="87"/>
      <c r="M92" s="87"/>
      <c r="N92" s="87"/>
    </row>
    <row r="93" spans="5:14" x14ac:dyDescent="0.3">
      <c r="E93" s="87"/>
      <c r="F93" s="87"/>
      <c r="G93" s="87"/>
      <c r="H93" s="87"/>
      <c r="I93" s="87"/>
      <c r="J93" s="87"/>
      <c r="M93" s="87"/>
      <c r="N93" s="87"/>
    </row>
    <row r="94" spans="5:14" x14ac:dyDescent="0.3">
      <c r="E94" s="87"/>
      <c r="F94" s="87"/>
      <c r="G94" s="87"/>
      <c r="H94" s="87"/>
      <c r="I94" s="87"/>
      <c r="J94" s="87"/>
      <c r="M94" s="87"/>
      <c r="N94" s="87"/>
    </row>
    <row r="95" spans="5:14" x14ac:dyDescent="0.3">
      <c r="E95" s="87"/>
      <c r="F95" s="87"/>
      <c r="G95" s="87"/>
      <c r="H95" s="87"/>
      <c r="I95" s="87"/>
      <c r="J95" s="87"/>
      <c r="M95" s="87"/>
      <c r="N95" s="87"/>
    </row>
    <row r="96" spans="5:14" x14ac:dyDescent="0.3">
      <c r="E96" s="87"/>
      <c r="F96" s="87"/>
      <c r="G96" s="87"/>
      <c r="H96" s="87"/>
      <c r="I96" s="87"/>
      <c r="J96" s="87"/>
      <c r="M96" s="87"/>
      <c r="N96" s="87"/>
    </row>
    <row r="97" spans="5:14" x14ac:dyDescent="0.3">
      <c r="E97" s="87"/>
      <c r="F97" s="87"/>
      <c r="G97" s="87"/>
      <c r="H97" s="87"/>
      <c r="I97" s="87"/>
      <c r="J97" s="87"/>
      <c r="M97" s="87"/>
      <c r="N97" s="87"/>
    </row>
    <row r="98" spans="5:14" x14ac:dyDescent="0.3">
      <c r="E98" s="87"/>
      <c r="F98" s="87"/>
      <c r="G98" s="87"/>
      <c r="H98" s="87"/>
      <c r="I98" s="87"/>
      <c r="J98" s="87"/>
      <c r="M98" s="87"/>
      <c r="N98" s="87"/>
    </row>
    <row r="99" spans="5:14" x14ac:dyDescent="0.3">
      <c r="E99" s="87"/>
      <c r="F99" s="87"/>
      <c r="G99" s="87"/>
      <c r="H99" s="87"/>
      <c r="I99" s="87"/>
      <c r="J99" s="87"/>
      <c r="M99" s="87"/>
      <c r="N99" s="87"/>
    </row>
    <row r="100" spans="5:14" x14ac:dyDescent="0.3">
      <c r="E100" s="87"/>
      <c r="F100" s="87"/>
      <c r="G100" s="87"/>
      <c r="H100" s="87"/>
      <c r="I100" s="87"/>
      <c r="J100" s="87"/>
      <c r="M100" s="87"/>
      <c r="N100" s="87"/>
    </row>
    <row r="101" spans="5:14" x14ac:dyDescent="0.3">
      <c r="E101" s="87"/>
      <c r="F101" s="87"/>
      <c r="G101" s="87"/>
      <c r="H101" s="87"/>
      <c r="I101" s="87"/>
      <c r="J101" s="87"/>
      <c r="M101" s="87"/>
      <c r="N101" s="87"/>
    </row>
    <row r="102" spans="5:14" x14ac:dyDescent="0.3">
      <c r="E102" s="87"/>
      <c r="F102" s="87"/>
      <c r="G102" s="87"/>
      <c r="H102" s="87"/>
      <c r="I102" s="87"/>
      <c r="J102" s="87"/>
      <c r="M102" s="87"/>
      <c r="N102" s="87"/>
    </row>
    <row r="103" spans="5:14" x14ac:dyDescent="0.3">
      <c r="E103" s="87"/>
      <c r="F103" s="87"/>
      <c r="G103" s="87"/>
      <c r="H103" s="87"/>
      <c r="I103" s="87"/>
      <c r="J103" s="87"/>
      <c r="M103" s="87"/>
      <c r="N103" s="87"/>
    </row>
    <row r="104" spans="5:14" x14ac:dyDescent="0.3">
      <c r="E104" s="87"/>
      <c r="F104" s="87"/>
      <c r="G104" s="87"/>
      <c r="H104" s="87"/>
      <c r="I104" s="87"/>
      <c r="J104" s="87"/>
      <c r="M104" s="87"/>
      <c r="N104" s="87"/>
    </row>
    <row r="105" spans="5:14" x14ac:dyDescent="0.3">
      <c r="E105" s="87"/>
      <c r="F105" s="87"/>
      <c r="G105" s="87"/>
      <c r="H105" s="87"/>
      <c r="I105" s="87"/>
      <c r="J105" s="87"/>
      <c r="M105" s="87"/>
      <c r="N105" s="87"/>
    </row>
    <row r="106" spans="5:14" x14ac:dyDescent="0.3">
      <c r="E106" s="87"/>
      <c r="F106" s="87"/>
      <c r="G106" s="87"/>
      <c r="H106" s="87"/>
      <c r="I106" s="87"/>
      <c r="J106" s="87"/>
      <c r="M106" s="87"/>
      <c r="N106" s="87"/>
    </row>
    <row r="107" spans="5:14" x14ac:dyDescent="0.3">
      <c r="E107" s="87"/>
      <c r="F107" s="87"/>
      <c r="G107" s="87"/>
      <c r="H107" s="87"/>
      <c r="I107" s="87"/>
      <c r="J107" s="87"/>
      <c r="M107" s="87"/>
      <c r="N107" s="87"/>
    </row>
  </sheetData>
  <mergeCells count="1">
    <mergeCell ref="D5:M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5537-86F6-4A9C-A12B-F35316ADD05E}">
  <dimension ref="C73"/>
  <sheetViews>
    <sheetView topLeftCell="A72" zoomScale="78" zoomScaleNormal="78" workbookViewId="0">
      <selection activeCell="A70" sqref="A70"/>
    </sheetView>
  </sheetViews>
  <sheetFormatPr defaultRowHeight="14.4" x14ac:dyDescent="0.3"/>
  <sheetData>
    <row r="73" spans="3:3" ht="23.4" x14ac:dyDescent="0.45">
      <c r="C73" s="737" t="s">
        <v>448</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4EC3B-3DD1-466C-A93C-3D3D7F8E7891}">
  <dimension ref="A1:N9"/>
  <sheetViews>
    <sheetView workbookViewId="0">
      <selection activeCell="B4" sqref="B4"/>
    </sheetView>
  </sheetViews>
  <sheetFormatPr defaultRowHeight="14.4" x14ac:dyDescent="0.3"/>
  <cols>
    <col min="1" max="1" width="31.88671875" customWidth="1"/>
  </cols>
  <sheetData>
    <row r="1" spans="1:14" x14ac:dyDescent="0.3">
      <c r="A1" s="571" t="s">
        <v>362</v>
      </c>
      <c r="B1" s="479"/>
      <c r="C1" s="479"/>
      <c r="D1" s="479"/>
      <c r="E1" s="479"/>
      <c r="F1" s="479"/>
      <c r="G1" s="479"/>
      <c r="H1" s="479"/>
      <c r="I1" s="479"/>
      <c r="J1" s="479"/>
      <c r="K1" s="479"/>
      <c r="L1" s="479"/>
      <c r="M1" s="479"/>
      <c r="N1" s="479"/>
    </row>
    <row r="2" spans="1:14" x14ac:dyDescent="0.3">
      <c r="A2" s="479"/>
      <c r="B2" s="570">
        <v>45170</v>
      </c>
      <c r="C2" s="570">
        <v>45200</v>
      </c>
      <c r="D2" s="570">
        <v>45231</v>
      </c>
      <c r="E2" s="570">
        <v>45261</v>
      </c>
      <c r="F2" s="570">
        <v>45292</v>
      </c>
      <c r="G2" s="570">
        <v>45323</v>
      </c>
      <c r="H2" s="570">
        <v>45352</v>
      </c>
      <c r="I2" s="570">
        <v>45383</v>
      </c>
      <c r="J2" s="570">
        <v>45413</v>
      </c>
      <c r="K2" s="570">
        <v>45444</v>
      </c>
      <c r="L2" s="570">
        <v>45474</v>
      </c>
      <c r="M2" s="570">
        <v>45505</v>
      </c>
      <c r="N2" s="515" t="s">
        <v>92</v>
      </c>
    </row>
    <row r="3" spans="1:14" x14ac:dyDescent="0.3">
      <c r="A3" s="568" t="s">
        <v>301</v>
      </c>
      <c r="B3" s="567">
        <v>15390</v>
      </c>
      <c r="C3" s="567">
        <v>12235</v>
      </c>
      <c r="D3" s="567">
        <v>11359</v>
      </c>
      <c r="E3" s="567">
        <v>19738</v>
      </c>
      <c r="F3" s="567">
        <v>24392</v>
      </c>
      <c r="G3" s="567">
        <v>25301</v>
      </c>
      <c r="H3" s="567">
        <v>23546</v>
      </c>
      <c r="I3" s="567">
        <v>18830</v>
      </c>
      <c r="J3" s="567">
        <v>19932</v>
      </c>
      <c r="K3" s="567">
        <v>24029</v>
      </c>
      <c r="L3" s="567">
        <v>25365</v>
      </c>
      <c r="M3" s="567">
        <v>24121</v>
      </c>
      <c r="N3" s="569">
        <v>244238</v>
      </c>
    </row>
    <row r="4" spans="1:14" x14ac:dyDescent="0.3">
      <c r="A4" s="568" t="s">
        <v>302</v>
      </c>
      <c r="B4" s="567">
        <v>1929</v>
      </c>
      <c r="C4" s="567">
        <v>1430</v>
      </c>
      <c r="D4" s="567">
        <v>1315</v>
      </c>
      <c r="E4" s="567">
        <v>1924</v>
      </c>
      <c r="F4" s="567">
        <v>2463</v>
      </c>
      <c r="G4" s="567">
        <v>2572</v>
      </c>
      <c r="H4" s="567">
        <v>2619</v>
      </c>
      <c r="I4" s="567">
        <v>2062</v>
      </c>
      <c r="J4" s="567">
        <v>2047</v>
      </c>
      <c r="K4" s="567">
        <v>2507</v>
      </c>
      <c r="L4" s="567">
        <v>2655</v>
      </c>
      <c r="M4" s="567">
        <v>2585</v>
      </c>
      <c r="N4" s="569">
        <v>26108</v>
      </c>
    </row>
    <row r="5" spans="1:14" x14ac:dyDescent="0.3">
      <c r="A5" s="568" t="s">
        <v>303</v>
      </c>
      <c r="B5" s="567">
        <v>2088</v>
      </c>
      <c r="C5" s="567">
        <v>1529</v>
      </c>
      <c r="D5" s="567">
        <v>1412</v>
      </c>
      <c r="E5" s="567">
        <v>2056</v>
      </c>
      <c r="F5" s="567">
        <v>2630</v>
      </c>
      <c r="G5" s="567">
        <v>2753</v>
      </c>
      <c r="H5" s="567">
        <v>2822</v>
      </c>
      <c r="I5" s="567">
        <v>2230</v>
      </c>
      <c r="J5" s="567">
        <v>2221</v>
      </c>
      <c r="K5" s="567">
        <v>2717</v>
      </c>
      <c r="L5" s="567">
        <v>2880</v>
      </c>
      <c r="M5" s="567">
        <v>2825</v>
      </c>
      <c r="N5" s="569">
        <v>28163</v>
      </c>
    </row>
    <row r="6" spans="1:14" x14ac:dyDescent="0.3">
      <c r="A6" s="568" t="s">
        <v>304</v>
      </c>
      <c r="B6" s="567">
        <v>23772</v>
      </c>
      <c r="C6" s="567">
        <v>18326</v>
      </c>
      <c r="D6" s="567">
        <v>17325</v>
      </c>
      <c r="E6" s="567">
        <v>23657</v>
      </c>
      <c r="F6" s="567">
        <v>29638</v>
      </c>
      <c r="G6" s="567">
        <v>31591</v>
      </c>
      <c r="H6" s="567">
        <v>35502</v>
      </c>
      <c r="I6" s="567">
        <v>28463</v>
      </c>
      <c r="J6" s="567">
        <v>27637</v>
      </c>
      <c r="K6" s="567">
        <v>32486</v>
      </c>
      <c r="L6" s="567">
        <v>33127</v>
      </c>
      <c r="M6" s="567">
        <v>33199</v>
      </c>
      <c r="N6" s="569">
        <v>334723</v>
      </c>
    </row>
    <row r="7" spans="1:14" x14ac:dyDescent="0.3">
      <c r="A7" s="568" t="s">
        <v>305</v>
      </c>
      <c r="B7" s="567">
        <v>25004</v>
      </c>
      <c r="C7" s="567">
        <v>19081</v>
      </c>
      <c r="D7" s="567">
        <v>18119</v>
      </c>
      <c r="E7" s="567">
        <v>24593</v>
      </c>
      <c r="F7" s="567">
        <v>30803</v>
      </c>
      <c r="G7" s="567">
        <v>32863</v>
      </c>
      <c r="H7" s="567">
        <v>33785</v>
      </c>
      <c r="I7" s="567">
        <v>29681</v>
      </c>
      <c r="J7" s="567">
        <v>28887</v>
      </c>
      <c r="K7" s="567">
        <v>33981</v>
      </c>
      <c r="L7" s="567">
        <v>34744</v>
      </c>
      <c r="M7" s="567">
        <v>34825</v>
      </c>
      <c r="N7" s="569">
        <v>346366</v>
      </c>
    </row>
    <row r="8" spans="1:14" x14ac:dyDescent="0.3">
      <c r="A8" s="568" t="s">
        <v>306</v>
      </c>
      <c r="B8" s="567">
        <v>24785</v>
      </c>
      <c r="C8" s="567">
        <v>19110</v>
      </c>
      <c r="D8" s="567">
        <v>17402</v>
      </c>
      <c r="E8" s="567">
        <v>29440</v>
      </c>
      <c r="F8" s="567">
        <v>38011</v>
      </c>
      <c r="G8" s="567">
        <v>41594</v>
      </c>
      <c r="H8" s="567">
        <v>38682</v>
      </c>
      <c r="I8" s="567">
        <v>33069</v>
      </c>
      <c r="J8" s="567">
        <v>37284</v>
      </c>
      <c r="K8" s="567">
        <v>47653</v>
      </c>
      <c r="L8" s="567">
        <v>48929</v>
      </c>
      <c r="M8" s="567">
        <v>46932</v>
      </c>
      <c r="N8" s="569">
        <v>422891</v>
      </c>
    </row>
    <row r="9" spans="1:14" x14ac:dyDescent="0.3">
      <c r="A9" s="568"/>
      <c r="B9" s="567"/>
      <c r="C9" s="567"/>
      <c r="D9" s="567"/>
      <c r="E9" s="567"/>
      <c r="F9" s="567"/>
      <c r="G9" s="567"/>
      <c r="H9" s="567"/>
      <c r="I9" s="567"/>
      <c r="J9" s="567"/>
      <c r="K9" s="567"/>
      <c r="L9" s="567"/>
      <c r="M9" s="567"/>
      <c r="N9" s="567"/>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DAF68-D9A4-4E92-A869-366662DA56CF}">
  <dimension ref="R22:T33"/>
  <sheetViews>
    <sheetView topLeftCell="E1" zoomScale="58" workbookViewId="0">
      <selection activeCell="R30" sqref="R30"/>
    </sheetView>
  </sheetViews>
  <sheetFormatPr defaultRowHeight="14.4" x14ac:dyDescent="0.3"/>
  <cols>
    <col min="18" max="18" width="10.88671875" bestFit="1" customWidth="1"/>
    <col min="19" max="19" width="9.88671875" bestFit="1" customWidth="1"/>
  </cols>
  <sheetData>
    <row r="22" spans="18:20" x14ac:dyDescent="0.3">
      <c r="R22" t="s">
        <v>279</v>
      </c>
      <c r="S22" t="s">
        <v>415</v>
      </c>
    </row>
    <row r="23" spans="18:20" x14ac:dyDescent="0.3">
      <c r="R23" t="s">
        <v>413</v>
      </c>
      <c r="S23" t="s">
        <v>413</v>
      </c>
    </row>
    <row r="24" spans="18:20" x14ac:dyDescent="0.3">
      <c r="R24" t="s">
        <v>414</v>
      </c>
      <c r="S24" t="s">
        <v>414</v>
      </c>
    </row>
    <row r="25" spans="18:20" x14ac:dyDescent="0.3">
      <c r="R25" t="s">
        <v>321</v>
      </c>
      <c r="S25" t="s">
        <v>321</v>
      </c>
    </row>
    <row r="28" spans="18:20" x14ac:dyDescent="0.3">
      <c r="R28" s="2">
        <f>(208928/7)*3</f>
        <v>89540.57142857142</v>
      </c>
      <c r="S28" s="2">
        <f>208928/7*4</f>
        <v>119387.42857142857</v>
      </c>
      <c r="T28" t="s">
        <v>420</v>
      </c>
    </row>
    <row r="29" spans="18:20" x14ac:dyDescent="0.3">
      <c r="R29" s="612">
        <f>423821-R28</f>
        <v>334280.42857142858</v>
      </c>
      <c r="S29" s="612">
        <f>423821-S28</f>
        <v>304433.57142857142</v>
      </c>
      <c r="T29" t="s">
        <v>419</v>
      </c>
    </row>
    <row r="30" spans="18:20" ht="15" thickBot="1" x14ac:dyDescent="0.35">
      <c r="R30" s="611">
        <f>R29+R28</f>
        <v>423821</v>
      </c>
      <c r="S30" s="611">
        <f>S29+S28</f>
        <v>423821</v>
      </c>
    </row>
    <row r="31" spans="18:20" x14ac:dyDescent="0.3">
      <c r="R31" s="613">
        <v>0.75</v>
      </c>
      <c r="S31" s="613">
        <v>0.75</v>
      </c>
    </row>
    <row r="32" spans="18:20" x14ac:dyDescent="0.3">
      <c r="R32" s="2">
        <f>(269576-22739)*0.75</f>
        <v>185127.75</v>
      </c>
      <c r="T32" t="s">
        <v>418</v>
      </c>
    </row>
    <row r="33" spans="18:20" x14ac:dyDescent="0.3">
      <c r="R33" s="121">
        <f>R28/12</f>
        <v>7461.7142857142853</v>
      </c>
      <c r="S33" s="121">
        <f>S28/12</f>
        <v>9948.9523809523798</v>
      </c>
      <c r="T33" t="s">
        <v>421</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8895E-3F4D-4C50-95AF-8F49EE7AD8A2}">
  <dimension ref="A1:Q67"/>
  <sheetViews>
    <sheetView workbookViewId="0">
      <selection activeCell="B60" sqref="B60"/>
    </sheetView>
  </sheetViews>
  <sheetFormatPr defaultRowHeight="14.4" x14ac:dyDescent="0.3"/>
  <cols>
    <col min="2" max="2" width="30.44140625" customWidth="1"/>
    <col min="4" max="4" width="14.21875" customWidth="1"/>
    <col min="5" max="5" width="14.77734375" customWidth="1"/>
    <col min="6" max="6" width="12.6640625" customWidth="1"/>
    <col min="7" max="7" width="18" customWidth="1"/>
    <col min="9" max="9" width="12.6640625" customWidth="1"/>
    <col min="10" max="10" width="13.44140625" bestFit="1" customWidth="1"/>
  </cols>
  <sheetData>
    <row r="1" spans="1:17" x14ac:dyDescent="0.3">
      <c r="A1" s="479"/>
      <c r="B1" s="479"/>
      <c r="C1" s="479"/>
      <c r="D1" s="479"/>
      <c r="E1" s="479"/>
      <c r="F1" s="479"/>
      <c r="G1" s="479"/>
      <c r="H1" s="479"/>
      <c r="I1" s="479"/>
      <c r="J1" s="479"/>
      <c r="K1" s="479"/>
      <c r="L1" s="479"/>
      <c r="M1" s="479"/>
      <c r="N1" s="479"/>
      <c r="O1" s="479"/>
      <c r="P1" s="479"/>
      <c r="Q1" s="479"/>
    </row>
    <row r="2" spans="1:17" x14ac:dyDescent="0.3">
      <c r="A2" s="479"/>
      <c r="B2" s="479"/>
      <c r="C2" s="479"/>
      <c r="D2" s="479"/>
      <c r="E2" s="479"/>
      <c r="F2" s="479"/>
      <c r="G2" s="479"/>
      <c r="H2" s="479"/>
      <c r="I2" s="479"/>
      <c r="J2" s="479"/>
      <c r="K2" s="479"/>
      <c r="L2" s="479"/>
      <c r="M2" s="479"/>
      <c r="N2" s="479"/>
      <c r="O2" s="479"/>
      <c r="P2" s="479"/>
      <c r="Q2" s="479"/>
    </row>
    <row r="3" spans="1:17" x14ac:dyDescent="0.3">
      <c r="A3" s="479"/>
      <c r="B3" s="1228" t="s">
        <v>391</v>
      </c>
      <c r="C3" s="1229"/>
      <c r="D3" s="1229"/>
      <c r="E3" s="1229"/>
      <c r="F3" s="1229"/>
      <c r="G3" s="1230"/>
      <c r="H3" s="479"/>
      <c r="I3" s="479"/>
      <c r="J3" s="479"/>
      <c r="K3" s="479"/>
      <c r="L3" s="479"/>
      <c r="M3" s="479"/>
      <c r="N3" s="479"/>
      <c r="O3" s="479"/>
      <c r="P3" s="479"/>
      <c r="Q3" s="479"/>
    </row>
    <row r="4" spans="1:17" x14ac:dyDescent="0.3">
      <c r="A4" s="479"/>
      <c r="B4" s="541" t="s">
        <v>390</v>
      </c>
      <c r="C4" s="479"/>
      <c r="D4" s="515" t="s">
        <v>388</v>
      </c>
      <c r="E4" s="515" t="s">
        <v>387</v>
      </c>
      <c r="F4" s="515" t="s">
        <v>386</v>
      </c>
      <c r="G4" s="515" t="s">
        <v>389</v>
      </c>
      <c r="H4" s="479"/>
      <c r="I4" s="515"/>
      <c r="J4" s="479"/>
      <c r="K4" s="479"/>
      <c r="L4" s="479"/>
      <c r="M4" s="479"/>
      <c r="N4" s="479"/>
      <c r="O4" s="479"/>
      <c r="P4" s="479"/>
      <c r="Q4" s="479"/>
    </row>
    <row r="5" spans="1:17" x14ac:dyDescent="0.3">
      <c r="A5" s="479"/>
      <c r="B5" s="598">
        <v>45138</v>
      </c>
      <c r="C5" s="479"/>
      <c r="D5" s="597">
        <v>10625</v>
      </c>
      <c r="E5" s="597">
        <v>112937</v>
      </c>
      <c r="F5" s="597">
        <v>150</v>
      </c>
      <c r="G5" s="609">
        <f t="shared" ref="G5:G10" si="0">SUM(D5:E5)</f>
        <v>123562</v>
      </c>
      <c r="H5" s="479"/>
      <c r="I5" s="597"/>
      <c r="J5" s="479"/>
      <c r="K5" s="479"/>
      <c r="L5" s="479"/>
      <c r="M5" s="479"/>
      <c r="N5" s="479"/>
      <c r="O5" s="479"/>
      <c r="P5" s="479"/>
      <c r="Q5" s="479"/>
    </row>
    <row r="6" spans="1:17" x14ac:dyDescent="0.3">
      <c r="A6" s="479"/>
      <c r="B6" s="598">
        <v>45169</v>
      </c>
      <c r="C6" s="479"/>
      <c r="D6" s="597">
        <v>10625</v>
      </c>
      <c r="E6" s="597">
        <v>102937</v>
      </c>
      <c r="F6" s="597">
        <v>150</v>
      </c>
      <c r="G6" s="609">
        <f t="shared" si="0"/>
        <v>113562</v>
      </c>
      <c r="H6" s="479"/>
      <c r="I6" s="597"/>
      <c r="J6" s="479"/>
      <c r="K6" s="479"/>
      <c r="L6" s="479"/>
      <c r="M6" s="479"/>
      <c r="N6" s="479"/>
      <c r="O6" s="479"/>
      <c r="P6" s="479"/>
      <c r="Q6" s="479"/>
    </row>
    <row r="7" spans="1:17" x14ac:dyDescent="0.3">
      <c r="A7" s="479"/>
      <c r="B7" s="598">
        <v>45199</v>
      </c>
      <c r="C7" s="479"/>
      <c r="D7" s="597">
        <v>10625</v>
      </c>
      <c r="E7" s="597">
        <v>151111</v>
      </c>
      <c r="F7" s="597">
        <v>150</v>
      </c>
      <c r="G7" s="609">
        <f t="shared" si="0"/>
        <v>161736</v>
      </c>
      <c r="H7" s="479"/>
      <c r="I7" s="597"/>
      <c r="J7" s="479"/>
      <c r="K7" s="479"/>
      <c r="L7" s="479"/>
      <c r="M7" s="479"/>
      <c r="N7" s="479"/>
      <c r="O7" s="479"/>
      <c r="P7" s="479"/>
      <c r="Q7" s="479"/>
    </row>
    <row r="8" spans="1:17" x14ac:dyDescent="0.3">
      <c r="A8" s="479"/>
      <c r="B8" s="598">
        <v>45200</v>
      </c>
      <c r="C8" s="479"/>
      <c r="D8" s="597">
        <v>10625</v>
      </c>
      <c r="E8" s="597">
        <v>102537</v>
      </c>
      <c r="F8" s="597">
        <v>150</v>
      </c>
      <c r="G8" s="609">
        <f t="shared" si="0"/>
        <v>113162</v>
      </c>
      <c r="H8" s="479"/>
      <c r="I8" s="597"/>
      <c r="J8" s="479"/>
      <c r="K8" s="479"/>
      <c r="L8" s="479"/>
      <c r="M8" s="479"/>
      <c r="N8" s="479"/>
      <c r="O8" s="479"/>
      <c r="P8" s="479"/>
      <c r="Q8" s="479"/>
    </row>
    <row r="9" spans="1:17" x14ac:dyDescent="0.3">
      <c r="A9" s="479"/>
      <c r="B9" s="598">
        <v>45260</v>
      </c>
      <c r="C9" s="479"/>
      <c r="D9" s="597">
        <v>10625</v>
      </c>
      <c r="E9" s="597">
        <v>102537</v>
      </c>
      <c r="F9" s="597">
        <v>150</v>
      </c>
      <c r="G9" s="609">
        <f t="shared" si="0"/>
        <v>113162</v>
      </c>
      <c r="H9" s="479"/>
      <c r="I9" s="597"/>
      <c r="J9" s="479"/>
      <c r="K9" s="479"/>
      <c r="L9" s="479"/>
      <c r="M9" s="479"/>
      <c r="N9" s="479"/>
      <c r="O9" s="479"/>
      <c r="P9" s="479"/>
      <c r="Q9" s="479"/>
    </row>
    <row r="10" spans="1:17" x14ac:dyDescent="0.3">
      <c r="A10" s="479"/>
      <c r="B10" s="598">
        <v>45291</v>
      </c>
      <c r="C10" s="479"/>
      <c r="D10" s="597">
        <v>10625</v>
      </c>
      <c r="E10" s="597">
        <v>102537</v>
      </c>
      <c r="F10" s="597">
        <v>150</v>
      </c>
      <c r="G10" s="609">
        <f t="shared" si="0"/>
        <v>113162</v>
      </c>
      <c r="H10" s="479"/>
      <c r="I10" s="597"/>
      <c r="J10" s="479"/>
      <c r="K10" s="479"/>
      <c r="L10" s="479"/>
      <c r="M10" s="479"/>
      <c r="N10" s="479"/>
      <c r="O10" s="479"/>
      <c r="P10" s="479"/>
      <c r="Q10" s="479"/>
    </row>
    <row r="11" spans="1:17" x14ac:dyDescent="0.3">
      <c r="A11" s="479"/>
      <c r="B11" s="602" t="s">
        <v>246</v>
      </c>
      <c r="C11" s="601"/>
      <c r="D11" s="608" t="s">
        <v>388</v>
      </c>
      <c r="E11" s="608" t="s">
        <v>387</v>
      </c>
      <c r="F11" s="608" t="s">
        <v>386</v>
      </c>
      <c r="G11" s="608" t="s">
        <v>92</v>
      </c>
      <c r="H11" s="479"/>
      <c r="I11" s="515"/>
      <c r="J11" s="541"/>
      <c r="K11" s="479"/>
      <c r="L11" s="479"/>
      <c r="M11" s="479"/>
      <c r="N11" s="479"/>
      <c r="O11" s="479"/>
      <c r="P11" s="479"/>
      <c r="Q11" s="479"/>
    </row>
    <row r="12" spans="1:17" x14ac:dyDescent="0.3">
      <c r="A12" s="479"/>
      <c r="B12" s="606" t="s">
        <v>385</v>
      </c>
      <c r="C12" s="605"/>
      <c r="D12" s="579">
        <f t="shared" ref="D12:D23" si="1">10625+(15000/12)</f>
        <v>11875</v>
      </c>
      <c r="E12" s="579">
        <v>150395</v>
      </c>
      <c r="F12" s="579">
        <v>150</v>
      </c>
      <c r="G12" s="607">
        <f t="shared" ref="G12:G23" si="2">SUM(D12:F12)</f>
        <v>162420</v>
      </c>
      <c r="H12" s="479"/>
      <c r="I12" s="597"/>
      <c r="J12" s="597"/>
      <c r="K12" s="479"/>
      <c r="L12" s="479"/>
      <c r="M12" s="479"/>
      <c r="N12" s="479"/>
      <c r="O12" s="479"/>
      <c r="P12" s="479"/>
      <c r="Q12" s="479"/>
    </row>
    <row r="13" spans="1:17" x14ac:dyDescent="0.3">
      <c r="A13" s="479"/>
      <c r="B13" s="606" t="s">
        <v>384</v>
      </c>
      <c r="C13" s="605"/>
      <c r="D13" s="579">
        <f t="shared" si="1"/>
        <v>11875</v>
      </c>
      <c r="E13" s="579">
        <v>166786</v>
      </c>
      <c r="F13" s="579">
        <v>150</v>
      </c>
      <c r="G13" s="607">
        <f t="shared" si="2"/>
        <v>178811</v>
      </c>
      <c r="H13" s="479"/>
      <c r="I13" s="597"/>
      <c r="J13" s="597"/>
      <c r="K13" s="479"/>
      <c r="L13" s="479"/>
      <c r="M13" s="479"/>
      <c r="N13" s="479"/>
      <c r="O13" s="479"/>
      <c r="P13" s="479"/>
      <c r="Q13" s="479"/>
    </row>
    <row r="14" spans="1:17" x14ac:dyDescent="0.3">
      <c r="A14" s="479"/>
      <c r="B14" s="606" t="s">
        <v>383</v>
      </c>
      <c r="C14" s="605"/>
      <c r="D14" s="579">
        <f t="shared" si="1"/>
        <v>11875</v>
      </c>
      <c r="E14" s="579">
        <v>166786</v>
      </c>
      <c r="F14" s="579">
        <v>150</v>
      </c>
      <c r="G14" s="607">
        <f t="shared" si="2"/>
        <v>178811</v>
      </c>
      <c r="H14" s="479"/>
      <c r="I14" s="597"/>
      <c r="J14" s="597"/>
      <c r="K14" s="479"/>
      <c r="L14" s="479"/>
      <c r="M14" s="479"/>
      <c r="N14" s="479"/>
      <c r="O14" s="479"/>
      <c r="P14" s="479"/>
      <c r="Q14" s="479"/>
    </row>
    <row r="15" spans="1:17" x14ac:dyDescent="0.3">
      <c r="A15" s="479"/>
      <c r="B15" s="606" t="s">
        <v>382</v>
      </c>
      <c r="C15" s="605"/>
      <c r="D15" s="579">
        <f t="shared" si="1"/>
        <v>11875</v>
      </c>
      <c r="E15" s="579">
        <v>166786</v>
      </c>
      <c r="F15" s="579">
        <v>150</v>
      </c>
      <c r="G15" s="607">
        <f t="shared" si="2"/>
        <v>178811</v>
      </c>
      <c r="H15" s="479"/>
      <c r="I15" s="597"/>
      <c r="J15" s="597"/>
      <c r="K15" s="479"/>
      <c r="L15" s="479"/>
      <c r="M15" s="479"/>
      <c r="N15" s="479"/>
      <c r="O15" s="479"/>
      <c r="P15" s="479"/>
      <c r="Q15" s="479"/>
    </row>
    <row r="16" spans="1:17" x14ac:dyDescent="0.3">
      <c r="A16" s="479"/>
      <c r="B16" s="606" t="s">
        <v>381</v>
      </c>
      <c r="C16" s="605"/>
      <c r="D16" s="579">
        <f t="shared" si="1"/>
        <v>11875</v>
      </c>
      <c r="E16" s="579">
        <v>166786</v>
      </c>
      <c r="F16" s="579">
        <v>150</v>
      </c>
      <c r="G16" s="607">
        <f t="shared" si="2"/>
        <v>178811</v>
      </c>
      <c r="H16" s="479"/>
      <c r="I16" s="597"/>
      <c r="J16" s="597"/>
      <c r="K16" s="479"/>
      <c r="L16" s="479"/>
      <c r="M16" s="479"/>
      <c r="N16" s="479"/>
      <c r="O16" s="479"/>
      <c r="P16" s="479"/>
      <c r="Q16" s="479"/>
    </row>
    <row r="17" spans="1:17" x14ac:dyDescent="0.3">
      <c r="A17" s="479"/>
      <c r="B17" s="606" t="s">
        <v>380</v>
      </c>
      <c r="C17" s="605"/>
      <c r="D17" s="579">
        <f t="shared" si="1"/>
        <v>11875</v>
      </c>
      <c r="E17" s="579">
        <v>166786</v>
      </c>
      <c r="F17" s="579">
        <v>150</v>
      </c>
      <c r="G17" s="607">
        <f t="shared" si="2"/>
        <v>178811</v>
      </c>
      <c r="H17" s="479"/>
      <c r="I17" s="597"/>
      <c r="J17" s="597"/>
      <c r="K17" s="479"/>
      <c r="L17" s="479"/>
      <c r="M17" s="479"/>
      <c r="N17" s="479"/>
      <c r="O17" s="479"/>
      <c r="P17" s="479"/>
      <c r="Q17" s="479"/>
    </row>
    <row r="18" spans="1:17" x14ac:dyDescent="0.3">
      <c r="A18" s="479"/>
      <c r="B18" s="606" t="s">
        <v>379</v>
      </c>
      <c r="C18" s="605"/>
      <c r="D18" s="579">
        <f t="shared" si="1"/>
        <v>11875</v>
      </c>
      <c r="E18" s="579">
        <v>166786</v>
      </c>
      <c r="F18" s="579">
        <v>150</v>
      </c>
      <c r="G18" s="607">
        <f t="shared" si="2"/>
        <v>178811</v>
      </c>
      <c r="H18" s="479"/>
      <c r="I18" s="597"/>
      <c r="J18" s="597"/>
      <c r="K18" s="479"/>
      <c r="L18" s="479"/>
      <c r="M18" s="479"/>
      <c r="N18" s="479"/>
      <c r="O18" s="479"/>
      <c r="P18" s="479"/>
      <c r="Q18" s="479"/>
    </row>
    <row r="19" spans="1:17" x14ac:dyDescent="0.3">
      <c r="A19" s="479"/>
      <c r="B19" s="606" t="s">
        <v>378</v>
      </c>
      <c r="C19" s="605"/>
      <c r="D19" s="579">
        <f t="shared" si="1"/>
        <v>11875</v>
      </c>
      <c r="E19" s="579">
        <v>166786</v>
      </c>
      <c r="F19" s="579">
        <v>150</v>
      </c>
      <c r="G19" s="607">
        <f t="shared" si="2"/>
        <v>178811</v>
      </c>
      <c r="H19" s="479"/>
      <c r="I19" s="597"/>
      <c r="J19" s="597"/>
      <c r="K19" s="479"/>
      <c r="L19" s="479"/>
      <c r="M19" s="479"/>
      <c r="N19" s="479"/>
      <c r="O19" s="479"/>
      <c r="P19" s="479"/>
      <c r="Q19" s="479"/>
    </row>
    <row r="20" spans="1:17" x14ac:dyDescent="0.3">
      <c r="A20" s="479"/>
      <c r="B20" s="606" t="s">
        <v>377</v>
      </c>
      <c r="C20" s="605"/>
      <c r="D20" s="579">
        <f t="shared" si="1"/>
        <v>11875</v>
      </c>
      <c r="E20" s="579">
        <v>166786</v>
      </c>
      <c r="F20" s="579">
        <v>150</v>
      </c>
      <c r="G20" s="607">
        <f t="shared" si="2"/>
        <v>178811</v>
      </c>
      <c r="H20" s="479"/>
      <c r="I20" s="597"/>
      <c r="J20" s="597"/>
      <c r="K20" s="479"/>
      <c r="L20" s="479"/>
      <c r="M20" s="479"/>
      <c r="N20" s="479"/>
      <c r="O20" s="479"/>
      <c r="P20" s="479"/>
      <c r="Q20" s="479"/>
    </row>
    <row r="21" spans="1:17" x14ac:dyDescent="0.3">
      <c r="A21" s="479"/>
      <c r="B21" s="606" t="s">
        <v>376</v>
      </c>
      <c r="C21" s="605"/>
      <c r="D21" s="579">
        <f t="shared" si="1"/>
        <v>11875</v>
      </c>
      <c r="E21" s="579">
        <v>166786</v>
      </c>
      <c r="F21" s="579">
        <v>150</v>
      </c>
      <c r="G21" s="607">
        <f t="shared" si="2"/>
        <v>178811</v>
      </c>
      <c r="H21" s="479"/>
      <c r="I21" s="597"/>
      <c r="J21" s="597"/>
      <c r="K21" s="479"/>
      <c r="L21" s="479"/>
      <c r="M21" s="479"/>
      <c r="N21" s="479"/>
      <c r="O21" s="479"/>
      <c r="P21" s="479"/>
      <c r="Q21" s="479"/>
    </row>
    <row r="22" spans="1:17" x14ac:dyDescent="0.3">
      <c r="A22" s="479"/>
      <c r="B22" s="606" t="s">
        <v>375</v>
      </c>
      <c r="C22" s="605"/>
      <c r="D22" s="579">
        <f t="shared" si="1"/>
        <v>11875</v>
      </c>
      <c r="E22" s="579">
        <v>166786</v>
      </c>
      <c r="F22" s="579">
        <v>150</v>
      </c>
      <c r="G22" s="607">
        <f t="shared" si="2"/>
        <v>178811</v>
      </c>
      <c r="H22" s="479"/>
      <c r="I22" s="597"/>
      <c r="J22" s="597"/>
      <c r="K22" s="479"/>
      <c r="L22" s="479"/>
      <c r="M22" s="479"/>
      <c r="N22" s="479"/>
      <c r="O22" s="479"/>
      <c r="P22" s="479"/>
      <c r="Q22" s="479"/>
    </row>
    <row r="23" spans="1:17" x14ac:dyDescent="0.3">
      <c r="A23" s="479"/>
      <c r="B23" s="606" t="s">
        <v>374</v>
      </c>
      <c r="C23" s="605"/>
      <c r="D23" s="604">
        <f t="shared" si="1"/>
        <v>11875</v>
      </c>
      <c r="E23" s="604">
        <v>166786</v>
      </c>
      <c r="F23" s="604">
        <v>150</v>
      </c>
      <c r="G23" s="603">
        <f t="shared" si="2"/>
        <v>178811</v>
      </c>
      <c r="H23" s="479"/>
      <c r="I23" s="597"/>
      <c r="J23" s="479"/>
      <c r="K23" s="479"/>
      <c r="L23" s="479"/>
      <c r="M23" s="479"/>
      <c r="N23" s="479"/>
      <c r="O23" s="479"/>
      <c r="P23" s="479"/>
      <c r="Q23" s="479"/>
    </row>
    <row r="24" spans="1:17" ht="15" thickBot="1" x14ac:dyDescent="0.35">
      <c r="A24" s="479"/>
      <c r="B24" s="602" t="s">
        <v>92</v>
      </c>
      <c r="C24" s="601"/>
      <c r="D24" s="600">
        <f>SUM(D12:D23)</f>
        <v>142500</v>
      </c>
      <c r="E24" s="600">
        <f>SUM(E12:E23)</f>
        <v>1985041</v>
      </c>
      <c r="F24" s="600">
        <f>SUM(F12:F23)</f>
        <v>1800</v>
      </c>
      <c r="G24" s="600">
        <f>SUM(G12:G23)</f>
        <v>2129341</v>
      </c>
      <c r="H24" s="541"/>
      <c r="I24" s="591"/>
      <c r="J24" s="590"/>
      <c r="K24" s="479"/>
      <c r="L24" s="479"/>
      <c r="M24" s="479"/>
      <c r="N24" s="479"/>
      <c r="O24" s="479"/>
      <c r="P24" s="479"/>
      <c r="Q24" s="479"/>
    </row>
    <row r="25" spans="1:17" x14ac:dyDescent="0.3">
      <c r="A25" s="479"/>
      <c r="B25" s="599"/>
      <c r="C25" s="541"/>
      <c r="D25" s="593"/>
      <c r="E25" s="593"/>
      <c r="F25" s="593"/>
      <c r="G25" s="593"/>
      <c r="H25" s="541"/>
      <c r="I25" s="591"/>
      <c r="J25" s="479"/>
      <c r="K25" s="479"/>
      <c r="L25" s="479"/>
      <c r="M25" s="479"/>
      <c r="N25" s="479"/>
      <c r="O25" s="479"/>
      <c r="P25" s="479"/>
      <c r="Q25" s="479"/>
    </row>
    <row r="26" spans="1:17" x14ac:dyDescent="0.3">
      <c r="A26" s="479"/>
      <c r="B26" s="598">
        <v>45688</v>
      </c>
      <c r="C26" s="479"/>
      <c r="D26" s="581">
        <v>10625</v>
      </c>
      <c r="E26" s="581">
        <v>166786</v>
      </c>
      <c r="F26" s="581">
        <v>0</v>
      </c>
      <c r="G26" s="580">
        <f t="shared" ref="G26:G33" si="3">SUM(D26:E26)</f>
        <v>177411</v>
      </c>
      <c r="H26" s="479"/>
      <c r="I26" s="597"/>
      <c r="J26" s="479"/>
      <c r="K26" s="479"/>
      <c r="L26" s="479"/>
      <c r="M26" s="479"/>
      <c r="N26" s="479"/>
      <c r="O26" s="479"/>
      <c r="P26" s="479"/>
      <c r="Q26" s="479"/>
    </row>
    <row r="27" spans="1:17" x14ac:dyDescent="0.3">
      <c r="A27" s="479"/>
      <c r="B27" s="598">
        <v>45716</v>
      </c>
      <c r="C27" s="479"/>
      <c r="D27" s="581">
        <v>10625</v>
      </c>
      <c r="E27" s="581">
        <v>166786</v>
      </c>
      <c r="F27" s="581">
        <v>0</v>
      </c>
      <c r="G27" s="580">
        <f t="shared" si="3"/>
        <v>177411</v>
      </c>
      <c r="H27" s="479"/>
      <c r="I27" s="597"/>
      <c r="J27" s="479"/>
      <c r="K27" s="479"/>
      <c r="L27" s="479"/>
      <c r="M27" s="479"/>
      <c r="N27" s="479"/>
      <c r="O27" s="479"/>
      <c r="P27" s="479"/>
      <c r="Q27" s="479"/>
    </row>
    <row r="28" spans="1:17" x14ac:dyDescent="0.3">
      <c r="A28" s="479"/>
      <c r="B28" s="598">
        <v>45747</v>
      </c>
      <c r="C28" s="479"/>
      <c r="D28" s="581">
        <v>10625</v>
      </c>
      <c r="E28" s="581">
        <v>166786</v>
      </c>
      <c r="F28" s="581">
        <v>0</v>
      </c>
      <c r="G28" s="580">
        <f t="shared" si="3"/>
        <v>177411</v>
      </c>
      <c r="H28" s="479"/>
      <c r="I28" s="597"/>
      <c r="J28" s="479"/>
      <c r="K28" s="479"/>
      <c r="L28" s="479"/>
      <c r="M28" s="479"/>
      <c r="N28" s="479"/>
      <c r="O28" s="479"/>
      <c r="P28" s="479"/>
      <c r="Q28" s="479"/>
    </row>
    <row r="29" spans="1:17" x14ac:dyDescent="0.3">
      <c r="A29" s="479"/>
      <c r="B29" s="598">
        <v>45777</v>
      </c>
      <c r="C29" s="479"/>
      <c r="D29" s="581">
        <v>10625</v>
      </c>
      <c r="E29" s="581">
        <v>166786</v>
      </c>
      <c r="F29" s="581">
        <v>0</v>
      </c>
      <c r="G29" s="580">
        <f t="shared" si="3"/>
        <v>177411</v>
      </c>
      <c r="H29" s="479"/>
      <c r="I29" s="597"/>
      <c r="J29" s="479"/>
      <c r="K29" s="479"/>
      <c r="L29" s="479"/>
      <c r="M29" s="479"/>
      <c r="N29" s="479"/>
      <c r="O29" s="479"/>
      <c r="P29" s="479"/>
      <c r="Q29" s="479"/>
    </row>
    <row r="30" spans="1:17" x14ac:dyDescent="0.3">
      <c r="A30" s="479"/>
      <c r="B30" s="598">
        <v>45808</v>
      </c>
      <c r="C30" s="479"/>
      <c r="D30" s="581">
        <v>10625</v>
      </c>
      <c r="E30" s="581">
        <v>166786</v>
      </c>
      <c r="F30" s="581">
        <v>0</v>
      </c>
      <c r="G30" s="580">
        <f t="shared" si="3"/>
        <v>177411</v>
      </c>
      <c r="H30" s="479"/>
      <c r="I30" s="597"/>
      <c r="J30" s="479"/>
      <c r="K30" s="479"/>
      <c r="L30" s="479"/>
      <c r="M30" s="479"/>
      <c r="N30" s="479"/>
      <c r="O30" s="479"/>
      <c r="P30" s="479"/>
      <c r="Q30" s="479"/>
    </row>
    <row r="31" spans="1:17" x14ac:dyDescent="0.3">
      <c r="A31" s="479"/>
      <c r="B31" s="598">
        <v>45838</v>
      </c>
      <c r="C31" s="479"/>
      <c r="D31" s="581">
        <v>10625</v>
      </c>
      <c r="E31" s="581">
        <v>166786</v>
      </c>
      <c r="F31" s="581">
        <v>150</v>
      </c>
      <c r="G31" s="580">
        <f t="shared" si="3"/>
        <v>177411</v>
      </c>
      <c r="H31" s="479"/>
      <c r="I31" s="597"/>
      <c r="J31" s="479"/>
      <c r="K31" s="479"/>
      <c r="L31" s="479"/>
      <c r="M31" s="479"/>
      <c r="N31" s="479"/>
      <c r="O31" s="479"/>
      <c r="P31" s="479"/>
      <c r="Q31" s="479"/>
    </row>
    <row r="32" spans="1:17" x14ac:dyDescent="0.3">
      <c r="A32" s="479"/>
      <c r="B32" s="541" t="s">
        <v>373</v>
      </c>
      <c r="C32" s="541"/>
      <c r="D32" s="593">
        <v>15000</v>
      </c>
      <c r="E32" s="592"/>
      <c r="F32" s="581"/>
      <c r="G32" s="580">
        <f t="shared" si="3"/>
        <v>15000</v>
      </c>
      <c r="H32" s="541"/>
      <c r="I32" s="597"/>
      <c r="J32" s="541"/>
      <c r="K32" s="541"/>
      <c r="L32" s="541"/>
      <c r="M32" s="541"/>
      <c r="N32" s="541"/>
      <c r="O32" s="541"/>
      <c r="P32" s="541"/>
      <c r="Q32" s="541"/>
    </row>
    <row r="33" spans="1:17" ht="15" thickBot="1" x14ac:dyDescent="0.35">
      <c r="A33" s="479"/>
      <c r="B33" s="574" t="s">
        <v>92</v>
      </c>
      <c r="C33" s="574"/>
      <c r="D33" s="573">
        <f>SUM(D18:D32)</f>
        <v>292500</v>
      </c>
      <c r="E33" s="573">
        <f>SUM(E18:E32)</f>
        <v>3986473</v>
      </c>
      <c r="F33" s="596">
        <f>SUM(F18:F32)</f>
        <v>2850</v>
      </c>
      <c r="G33" s="573">
        <f t="shared" si="3"/>
        <v>4278973</v>
      </c>
      <c r="H33" s="479"/>
      <c r="I33" s="595"/>
      <c r="J33" s="594">
        <f>SUM(J18:J32)</f>
        <v>0</v>
      </c>
      <c r="K33" s="479"/>
      <c r="L33" s="479"/>
      <c r="M33" s="479"/>
      <c r="N33" s="479"/>
      <c r="O33" s="479"/>
      <c r="P33" s="479"/>
      <c r="Q33" s="479"/>
    </row>
    <row r="34" spans="1:17" ht="15" thickTop="1" x14ac:dyDescent="0.3">
      <c r="A34" s="479"/>
      <c r="B34" s="541"/>
      <c r="C34" s="541"/>
      <c r="D34" s="592"/>
      <c r="E34" s="592"/>
      <c r="F34" s="593"/>
      <c r="G34" s="592"/>
      <c r="H34" s="479"/>
      <c r="I34" s="591"/>
      <c r="J34" s="590"/>
      <c r="K34" s="479"/>
      <c r="L34" s="479"/>
      <c r="M34" s="479"/>
      <c r="N34" s="479"/>
      <c r="O34" s="479"/>
      <c r="P34" s="479"/>
      <c r="Q34" s="479"/>
    </row>
    <row r="35" spans="1:17" x14ac:dyDescent="0.3">
      <c r="A35" s="479"/>
      <c r="B35" s="575" t="s">
        <v>372</v>
      </c>
      <c r="C35" s="586"/>
      <c r="D35" s="589"/>
      <c r="E35" s="584"/>
      <c r="F35" s="584"/>
      <c r="G35" s="588" t="s">
        <v>92</v>
      </c>
      <c r="H35" s="479"/>
      <c r="I35" s="479"/>
      <c r="J35" s="479"/>
      <c r="K35" s="479"/>
      <c r="L35" s="479"/>
      <c r="M35" s="479"/>
      <c r="N35" s="479"/>
      <c r="O35" s="479"/>
      <c r="P35" s="479"/>
      <c r="Q35" s="479"/>
    </row>
    <row r="36" spans="1:17" x14ac:dyDescent="0.3">
      <c r="A36" s="479"/>
      <c r="B36" s="582" t="s">
        <v>251</v>
      </c>
      <c r="C36" s="479"/>
      <c r="D36" s="581"/>
      <c r="E36" s="580"/>
      <c r="F36" s="580"/>
      <c r="G36" s="587">
        <v>750000</v>
      </c>
      <c r="H36" s="479"/>
      <c r="I36" s="479"/>
      <c r="J36" s="479"/>
      <c r="K36" s="479"/>
      <c r="L36" s="479"/>
      <c r="M36" s="479"/>
      <c r="N36" s="479"/>
      <c r="O36" s="479"/>
      <c r="P36" s="479"/>
      <c r="Q36" s="479"/>
    </row>
    <row r="37" spans="1:17" x14ac:dyDescent="0.3">
      <c r="A37" s="479"/>
      <c r="B37" s="582" t="s">
        <v>371</v>
      </c>
      <c r="C37" s="479"/>
      <c r="D37" s="581"/>
      <c r="E37" s="580"/>
      <c r="F37" s="580"/>
      <c r="G37" s="579">
        <v>600000</v>
      </c>
      <c r="H37" s="479"/>
      <c r="I37" s="479"/>
      <c r="J37" s="479"/>
      <c r="K37" s="479"/>
      <c r="L37" s="479"/>
      <c r="M37" s="479"/>
      <c r="N37" s="479"/>
      <c r="O37" s="479"/>
      <c r="P37" s="479"/>
      <c r="Q37" s="479"/>
    </row>
    <row r="38" spans="1:17" x14ac:dyDescent="0.3">
      <c r="A38" s="479"/>
      <c r="B38" s="582" t="s">
        <v>356</v>
      </c>
      <c r="C38" s="479"/>
      <c r="D38" s="581"/>
      <c r="E38" s="580"/>
      <c r="F38" s="580"/>
      <c r="G38" s="579">
        <v>340000</v>
      </c>
      <c r="H38" s="479"/>
      <c r="I38" s="479"/>
      <c r="J38" s="479"/>
      <c r="K38" s="479"/>
      <c r="L38" s="479"/>
      <c r="M38" s="479"/>
      <c r="N38" s="479"/>
      <c r="O38" s="479"/>
      <c r="P38" s="479"/>
      <c r="Q38" s="479"/>
    </row>
    <row r="39" spans="1:17" x14ac:dyDescent="0.3">
      <c r="A39" s="479"/>
      <c r="B39" s="582" t="s">
        <v>252</v>
      </c>
      <c r="C39" s="479"/>
      <c r="D39" s="581"/>
      <c r="E39" s="580"/>
      <c r="F39" s="580"/>
      <c r="G39" s="579">
        <v>200000</v>
      </c>
      <c r="H39" s="479"/>
      <c r="I39" s="479"/>
      <c r="J39" s="479"/>
      <c r="K39" s="479"/>
      <c r="L39" s="479"/>
      <c r="M39" s="479"/>
      <c r="N39" s="479"/>
      <c r="O39" s="479"/>
      <c r="P39" s="479"/>
      <c r="Q39" s="479"/>
    </row>
    <row r="40" spans="1:17" x14ac:dyDescent="0.3">
      <c r="A40" s="479"/>
      <c r="B40" s="509" t="s">
        <v>370</v>
      </c>
      <c r="C40" s="586"/>
      <c r="D40" s="585"/>
      <c r="E40" s="584"/>
      <c r="F40" s="584"/>
      <c r="G40" s="583">
        <v>300000</v>
      </c>
      <c r="H40" s="479"/>
      <c r="I40" s="479"/>
      <c r="J40" s="479"/>
      <c r="K40" s="479"/>
      <c r="L40" s="479"/>
      <c r="M40" s="479"/>
      <c r="N40" s="479"/>
      <c r="O40" s="479"/>
      <c r="P40" s="479"/>
      <c r="Q40" s="479"/>
    </row>
    <row r="41" spans="1:17" x14ac:dyDescent="0.3">
      <c r="A41" s="479"/>
      <c r="B41" s="582" t="s">
        <v>369</v>
      </c>
      <c r="C41" s="479"/>
      <c r="D41" s="581"/>
      <c r="E41" s="580"/>
      <c r="F41" s="580"/>
      <c r="G41" s="579">
        <v>100000</v>
      </c>
      <c r="H41" s="479"/>
      <c r="I41" s="479"/>
      <c r="J41" s="479"/>
      <c r="K41" s="479"/>
      <c r="L41" s="479"/>
      <c r="M41" s="479"/>
      <c r="N41" s="479"/>
      <c r="O41" s="479"/>
      <c r="P41" s="479"/>
      <c r="Q41" s="479"/>
    </row>
    <row r="42" spans="1:17" x14ac:dyDescent="0.3">
      <c r="A42" s="479"/>
      <c r="B42" s="582" t="s">
        <v>368</v>
      </c>
      <c r="C42" s="479"/>
      <c r="D42" s="581"/>
      <c r="E42" s="580"/>
      <c r="F42" s="580"/>
      <c r="G42" s="579">
        <v>25000</v>
      </c>
      <c r="H42" s="479"/>
      <c r="I42" s="479"/>
      <c r="J42" s="479"/>
      <c r="K42" s="479"/>
      <c r="L42" s="479"/>
      <c r="M42" s="479"/>
      <c r="N42" s="479"/>
      <c r="O42" s="479"/>
      <c r="P42" s="479"/>
      <c r="Q42" s="479"/>
    </row>
    <row r="43" spans="1:17" x14ac:dyDescent="0.3">
      <c r="A43" s="479"/>
      <c r="B43" s="582" t="s">
        <v>367</v>
      </c>
      <c r="C43" s="479"/>
      <c r="D43" s="581"/>
      <c r="E43" s="580"/>
      <c r="F43" s="580"/>
      <c r="G43" s="579">
        <v>25000</v>
      </c>
      <c r="H43" s="479"/>
      <c r="I43" s="479"/>
      <c r="J43" s="479"/>
      <c r="K43" s="479"/>
      <c r="L43" s="479"/>
      <c r="M43" s="479"/>
      <c r="N43" s="479"/>
      <c r="O43" s="479"/>
      <c r="P43" s="479"/>
      <c r="Q43" s="479"/>
    </row>
    <row r="44" spans="1:17" x14ac:dyDescent="0.3">
      <c r="A44" s="479"/>
      <c r="B44" s="582" t="s">
        <v>366</v>
      </c>
      <c r="C44" s="479"/>
      <c r="D44" s="581"/>
      <c r="E44" s="580"/>
      <c r="F44" s="580"/>
      <c r="G44" s="579">
        <v>50000</v>
      </c>
      <c r="H44" s="479"/>
      <c r="I44" s="479"/>
      <c r="J44" s="479"/>
      <c r="K44" s="479"/>
      <c r="L44" s="479"/>
      <c r="M44" s="479"/>
      <c r="N44" s="479"/>
      <c r="O44" s="479"/>
      <c r="P44" s="479"/>
      <c r="Q44" s="479"/>
    </row>
    <row r="45" spans="1:17" x14ac:dyDescent="0.3">
      <c r="A45" s="479"/>
      <c r="B45" s="582" t="s">
        <v>365</v>
      </c>
      <c r="C45" s="479"/>
      <c r="D45" s="581"/>
      <c r="E45" s="580"/>
      <c r="F45" s="580"/>
      <c r="G45" s="579"/>
      <c r="H45" s="479"/>
      <c r="I45" s="479"/>
      <c r="J45" s="479"/>
      <c r="K45" s="479"/>
      <c r="L45" s="479"/>
      <c r="M45" s="479"/>
      <c r="N45" s="479"/>
      <c r="O45" s="479"/>
      <c r="P45" s="479"/>
      <c r="Q45" s="479"/>
    </row>
    <row r="46" spans="1:17" x14ac:dyDescent="0.3">
      <c r="A46" s="479"/>
      <c r="B46" s="582" t="s">
        <v>364</v>
      </c>
      <c r="C46" s="479"/>
      <c r="D46" s="581"/>
      <c r="E46" s="580"/>
      <c r="F46" s="580"/>
      <c r="G46" s="579"/>
      <c r="H46" s="479"/>
      <c r="I46" s="479"/>
      <c r="J46" s="479"/>
      <c r="K46" s="479"/>
      <c r="L46" s="479"/>
      <c r="M46" s="479"/>
      <c r="N46" s="479"/>
      <c r="O46" s="479"/>
      <c r="P46" s="479"/>
      <c r="Q46" s="479"/>
    </row>
    <row r="47" spans="1:17" x14ac:dyDescent="0.3">
      <c r="A47" s="479"/>
      <c r="B47" s="578" t="s">
        <v>92</v>
      </c>
      <c r="C47" s="560"/>
      <c r="D47" s="577"/>
      <c r="E47" s="577"/>
      <c r="F47" s="577"/>
      <c r="G47" s="576">
        <f>SUM(G36:G44)</f>
        <v>2390000</v>
      </c>
      <c r="H47" s="479"/>
      <c r="I47" s="479"/>
      <c r="J47" s="479"/>
      <c r="K47" s="479"/>
      <c r="L47" s="479"/>
      <c r="M47" s="479"/>
      <c r="N47" s="479"/>
      <c r="O47" s="479"/>
      <c r="P47" s="479"/>
      <c r="Q47" s="479"/>
    </row>
    <row r="48" spans="1:17" ht="15" thickBot="1" x14ac:dyDescent="0.35">
      <c r="A48" s="479"/>
      <c r="B48" s="575" t="s">
        <v>363</v>
      </c>
      <c r="C48" s="574"/>
      <c r="D48" s="573"/>
      <c r="E48" s="573"/>
      <c r="F48" s="573"/>
      <c r="G48" s="572">
        <f>G47-G24</f>
        <v>260659</v>
      </c>
      <c r="H48" s="479"/>
      <c r="I48" s="479"/>
      <c r="J48" s="479"/>
      <c r="K48" s="479"/>
      <c r="L48" s="479"/>
      <c r="M48" s="479"/>
      <c r="N48" s="479"/>
      <c r="O48" s="479"/>
      <c r="P48" s="479"/>
      <c r="Q48" s="479"/>
    </row>
    <row r="49" spans="1:17" ht="15" thickTop="1" x14ac:dyDescent="0.3">
      <c r="A49" s="479"/>
      <c r="B49" s="479"/>
      <c r="C49" s="479"/>
      <c r="D49" s="479"/>
      <c r="E49" s="479"/>
      <c r="F49" s="479"/>
      <c r="G49" s="479"/>
      <c r="H49" s="479"/>
      <c r="I49" s="479"/>
      <c r="J49" s="479"/>
      <c r="K49" s="479"/>
      <c r="L49" s="479"/>
      <c r="M49" s="479"/>
      <c r="N49" s="479"/>
      <c r="O49" s="479"/>
      <c r="P49" s="479"/>
      <c r="Q49" s="479"/>
    </row>
    <row r="50" spans="1:17" x14ac:dyDescent="0.3">
      <c r="A50" s="479"/>
      <c r="B50" s="479"/>
      <c r="C50" s="479"/>
      <c r="D50" s="479"/>
      <c r="E50" s="479"/>
      <c r="F50" s="479"/>
      <c r="G50" s="479"/>
      <c r="H50" s="479"/>
      <c r="I50" s="479"/>
      <c r="J50" s="479"/>
      <c r="K50" s="479"/>
      <c r="L50" s="479"/>
      <c r="M50" s="479"/>
      <c r="N50" s="479"/>
      <c r="O50" s="479"/>
      <c r="P50" s="479"/>
      <c r="Q50" s="479"/>
    </row>
    <row r="51" spans="1:17" x14ac:dyDescent="0.3">
      <c r="A51" s="479"/>
      <c r="B51" s="479"/>
      <c r="C51" s="479"/>
      <c r="D51" s="479"/>
      <c r="E51" s="479"/>
      <c r="F51" s="479"/>
      <c r="G51" s="479"/>
      <c r="H51" s="479"/>
      <c r="I51" s="479"/>
      <c r="J51" s="479"/>
      <c r="K51" s="479"/>
      <c r="L51" s="479"/>
      <c r="M51" s="479"/>
      <c r="N51" s="479"/>
      <c r="O51" s="479"/>
      <c r="P51" s="479"/>
      <c r="Q51" s="479"/>
    </row>
    <row r="52" spans="1:17" x14ac:dyDescent="0.3">
      <c r="A52" s="479"/>
      <c r="B52" s="479"/>
      <c r="C52" s="479"/>
      <c r="D52" s="479"/>
      <c r="E52" s="479"/>
      <c r="F52" s="479"/>
      <c r="G52" s="479"/>
      <c r="H52" s="479"/>
      <c r="I52" s="479"/>
      <c r="J52" s="479"/>
      <c r="K52" s="479"/>
      <c r="L52" s="479"/>
      <c r="M52" s="479"/>
      <c r="N52" s="479"/>
      <c r="O52" s="479"/>
      <c r="P52" s="479"/>
      <c r="Q52" s="479"/>
    </row>
    <row r="53" spans="1:17" x14ac:dyDescent="0.3">
      <c r="A53" s="479"/>
      <c r="B53" s="479"/>
      <c r="C53" s="479"/>
      <c r="D53" s="479"/>
      <c r="E53" s="479"/>
      <c r="F53" s="479"/>
      <c r="G53" s="479"/>
      <c r="H53" s="479"/>
      <c r="I53" s="479"/>
      <c r="J53" s="479"/>
      <c r="K53" s="479"/>
      <c r="L53" s="479"/>
      <c r="M53" s="479"/>
      <c r="N53" s="479"/>
      <c r="O53" s="479"/>
      <c r="P53" s="479"/>
      <c r="Q53" s="479"/>
    </row>
    <row r="54" spans="1:17" x14ac:dyDescent="0.3">
      <c r="A54" s="479"/>
      <c r="B54" s="479"/>
      <c r="C54" s="479"/>
      <c r="D54" s="479"/>
      <c r="E54" s="479"/>
      <c r="F54" s="479"/>
      <c r="G54" s="479"/>
      <c r="H54" s="479"/>
      <c r="I54" s="479"/>
      <c r="J54" s="479"/>
      <c r="K54" s="479"/>
      <c r="L54" s="479"/>
      <c r="M54" s="479"/>
      <c r="N54" s="479"/>
      <c r="O54" s="479"/>
      <c r="P54" s="479"/>
      <c r="Q54" s="479"/>
    </row>
    <row r="55" spans="1:17" x14ac:dyDescent="0.3">
      <c r="A55" s="479"/>
      <c r="B55" s="479"/>
      <c r="C55" s="479"/>
      <c r="D55" s="479"/>
      <c r="E55" s="479"/>
      <c r="F55" s="479"/>
      <c r="G55" s="479"/>
      <c r="H55" s="479"/>
      <c r="I55" s="479"/>
      <c r="J55" s="479"/>
      <c r="K55" s="479"/>
      <c r="L55" s="479"/>
      <c r="M55" s="479"/>
      <c r="N55" s="479"/>
      <c r="O55" s="479"/>
      <c r="P55" s="479"/>
      <c r="Q55" s="479"/>
    </row>
    <row r="56" spans="1:17" x14ac:dyDescent="0.3">
      <c r="A56" s="479"/>
      <c r="B56" s="479"/>
      <c r="C56" s="479"/>
      <c r="D56" s="479"/>
      <c r="E56" s="479"/>
      <c r="F56" s="479"/>
      <c r="G56" s="479"/>
      <c r="H56" s="479"/>
      <c r="I56" s="479"/>
      <c r="J56" s="479"/>
      <c r="K56" s="479"/>
      <c r="L56" s="479"/>
      <c r="M56" s="479"/>
      <c r="N56" s="479"/>
      <c r="O56" s="479"/>
      <c r="P56" s="479"/>
      <c r="Q56" s="479"/>
    </row>
    <row r="57" spans="1:17" x14ac:dyDescent="0.3">
      <c r="A57" s="479"/>
      <c r="B57" s="479"/>
      <c r="C57" s="479"/>
      <c r="D57" s="479"/>
      <c r="E57" s="479"/>
      <c r="F57" s="479"/>
      <c r="G57" s="479"/>
      <c r="H57" s="479"/>
      <c r="I57" s="479"/>
      <c r="J57" s="479"/>
      <c r="K57" s="479"/>
      <c r="L57" s="479"/>
      <c r="M57" s="479"/>
      <c r="N57" s="479"/>
      <c r="O57" s="479"/>
      <c r="P57" s="479"/>
      <c r="Q57" s="479"/>
    </row>
    <row r="58" spans="1:17" x14ac:dyDescent="0.3">
      <c r="A58" s="479"/>
      <c r="B58" s="479"/>
      <c r="C58" s="479"/>
      <c r="D58" s="479"/>
      <c r="E58" s="479"/>
      <c r="F58" s="479"/>
      <c r="G58" s="479"/>
      <c r="H58" s="479"/>
      <c r="I58" s="479"/>
      <c r="J58" s="479"/>
      <c r="K58" s="479"/>
      <c r="L58" s="479"/>
      <c r="M58" s="479"/>
      <c r="N58" s="479"/>
      <c r="O58" s="479"/>
      <c r="P58" s="479"/>
      <c r="Q58" s="479"/>
    </row>
    <row r="59" spans="1:17" x14ac:dyDescent="0.3">
      <c r="A59" s="479"/>
      <c r="B59" s="479"/>
      <c r="C59" s="479"/>
      <c r="D59" s="479"/>
      <c r="E59" s="479"/>
      <c r="F59" s="479"/>
      <c r="G59" s="479"/>
      <c r="H59" s="479"/>
      <c r="I59" s="479"/>
      <c r="J59" s="479"/>
      <c r="K59" s="479"/>
      <c r="L59" s="479"/>
      <c r="M59" s="479"/>
      <c r="N59" s="479"/>
      <c r="O59" s="479"/>
      <c r="P59" s="479"/>
      <c r="Q59" s="479"/>
    </row>
    <row r="60" spans="1:17" x14ac:dyDescent="0.3">
      <c r="A60" s="479"/>
      <c r="B60" s="479"/>
      <c r="C60" s="479"/>
      <c r="D60" s="479"/>
      <c r="E60" s="479"/>
      <c r="F60" s="479"/>
      <c r="G60" s="479"/>
      <c r="H60" s="479"/>
      <c r="I60" s="479"/>
      <c r="J60" s="479"/>
      <c r="K60" s="479"/>
      <c r="L60" s="479"/>
      <c r="M60" s="479"/>
      <c r="N60" s="479"/>
      <c r="O60" s="479"/>
      <c r="P60" s="479"/>
      <c r="Q60" s="479"/>
    </row>
    <row r="61" spans="1:17" x14ac:dyDescent="0.3">
      <c r="A61" s="479"/>
      <c r="B61" s="479"/>
      <c r="C61" s="479"/>
      <c r="D61" s="479"/>
      <c r="E61" s="479"/>
      <c r="F61" s="479"/>
      <c r="G61" s="479"/>
      <c r="H61" s="479"/>
      <c r="I61" s="479"/>
      <c r="J61" s="479"/>
      <c r="K61" s="479"/>
      <c r="L61" s="479"/>
      <c r="M61" s="479"/>
      <c r="N61" s="479"/>
      <c r="O61" s="479"/>
      <c r="P61" s="479"/>
      <c r="Q61" s="479"/>
    </row>
    <row r="62" spans="1:17" x14ac:dyDescent="0.3">
      <c r="A62" s="479"/>
      <c r="B62" s="479"/>
      <c r="C62" s="479"/>
      <c r="D62" s="479"/>
      <c r="E62" s="479"/>
      <c r="F62" s="479"/>
      <c r="G62" s="479"/>
      <c r="H62" s="479"/>
      <c r="I62" s="479"/>
      <c r="J62" s="479"/>
      <c r="K62" s="479"/>
      <c r="L62" s="479"/>
      <c r="M62" s="479"/>
      <c r="N62" s="479"/>
      <c r="O62" s="479"/>
      <c r="P62" s="479"/>
      <c r="Q62" s="479"/>
    </row>
    <row r="63" spans="1:17" x14ac:dyDescent="0.3">
      <c r="A63" s="479"/>
      <c r="B63" s="479"/>
      <c r="C63" s="479"/>
      <c r="D63" s="479"/>
      <c r="E63" s="479"/>
      <c r="F63" s="479"/>
      <c r="G63" s="479"/>
      <c r="H63" s="479"/>
      <c r="I63" s="479"/>
      <c r="J63" s="479"/>
      <c r="K63" s="479"/>
      <c r="L63" s="479"/>
      <c r="M63" s="479"/>
      <c r="N63" s="479"/>
      <c r="O63" s="479"/>
      <c r="P63" s="479"/>
      <c r="Q63" s="479"/>
    </row>
    <row r="64" spans="1:17" x14ac:dyDescent="0.3">
      <c r="A64" s="479"/>
      <c r="B64" s="479"/>
      <c r="C64" s="479"/>
      <c r="D64" s="479"/>
      <c r="E64" s="479"/>
      <c r="F64" s="479"/>
      <c r="G64" s="479"/>
      <c r="H64" s="479"/>
      <c r="I64" s="479"/>
      <c r="J64" s="479"/>
      <c r="K64" s="479"/>
      <c r="L64" s="479"/>
      <c r="M64" s="479"/>
      <c r="N64" s="479"/>
      <c r="O64" s="479"/>
      <c r="P64" s="479"/>
      <c r="Q64" s="479"/>
    </row>
    <row r="65" spans="1:17" x14ac:dyDescent="0.3">
      <c r="A65" s="479"/>
      <c r="B65" s="479"/>
      <c r="C65" s="479"/>
      <c r="D65" s="479"/>
      <c r="E65" s="479"/>
      <c r="F65" s="479"/>
      <c r="G65" s="479"/>
      <c r="H65" s="479"/>
      <c r="I65" s="479"/>
      <c r="J65" s="479"/>
      <c r="K65" s="479"/>
      <c r="L65" s="479"/>
      <c r="M65" s="479"/>
      <c r="N65" s="479"/>
      <c r="O65" s="479"/>
      <c r="P65" s="479"/>
      <c r="Q65" s="479"/>
    </row>
    <row r="66" spans="1:17" x14ac:dyDescent="0.3">
      <c r="A66" s="479"/>
      <c r="B66" s="479"/>
      <c r="C66" s="479"/>
      <c r="D66" s="479"/>
      <c r="E66" s="479"/>
      <c r="F66" s="479"/>
      <c r="G66" s="479"/>
      <c r="H66" s="479"/>
      <c r="I66" s="479"/>
      <c r="J66" s="479"/>
      <c r="K66" s="479"/>
      <c r="L66" s="479"/>
      <c r="M66" s="479"/>
      <c r="N66" s="479"/>
      <c r="O66" s="479"/>
      <c r="P66" s="479"/>
      <c r="Q66" s="479"/>
    </row>
    <row r="67" spans="1:17" x14ac:dyDescent="0.3">
      <c r="A67" s="479"/>
      <c r="B67" s="479"/>
      <c r="C67" s="479"/>
      <c r="D67" s="479"/>
      <c r="E67" s="479"/>
      <c r="F67" s="479"/>
      <c r="G67" s="479"/>
      <c r="H67" s="479"/>
      <c r="I67" s="479"/>
      <c r="J67" s="479"/>
      <c r="K67" s="479"/>
      <c r="L67" s="479"/>
      <c r="M67" s="479"/>
      <c r="N67" s="479"/>
      <c r="O67" s="479"/>
      <c r="P67" s="479"/>
      <c r="Q67" s="479"/>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66D72-C628-416E-98C8-148B11569B58}">
  <dimension ref="A1:I29"/>
  <sheetViews>
    <sheetView topLeftCell="A18" zoomScale="94" workbookViewId="0">
      <selection activeCell="A29" sqref="A29"/>
    </sheetView>
  </sheetViews>
  <sheetFormatPr defaultRowHeight="14.4" x14ac:dyDescent="0.3"/>
  <cols>
    <col min="1" max="1" width="5.6640625" customWidth="1"/>
    <col min="2" max="2" width="31" customWidth="1"/>
    <col min="3" max="3" width="54.6640625" bestFit="1" customWidth="1"/>
    <col min="4" max="4" width="20" customWidth="1"/>
    <col min="5" max="5" width="15.33203125" customWidth="1"/>
    <col min="6" max="6" width="19.33203125" customWidth="1"/>
    <col min="7" max="7" width="9.88671875" customWidth="1"/>
    <col min="8" max="9" width="17.33203125" customWidth="1"/>
  </cols>
  <sheetData>
    <row r="1" spans="1:9" ht="15.6" x14ac:dyDescent="0.3">
      <c r="B1" s="1239" t="s">
        <v>283</v>
      </c>
      <c r="C1" s="1240"/>
      <c r="D1" s="1240"/>
      <c r="E1" s="1241"/>
      <c r="F1" s="1241"/>
      <c r="G1" s="1241"/>
      <c r="H1" s="1241"/>
      <c r="I1" s="1242"/>
    </row>
    <row r="2" spans="1:9" ht="15" thickBot="1" x14ac:dyDescent="0.35">
      <c r="B2" s="1243" t="s">
        <v>254</v>
      </c>
      <c r="C2" s="1244"/>
      <c r="D2" s="1244"/>
      <c r="E2" s="1244"/>
      <c r="F2" s="1244"/>
      <c r="G2" s="1244"/>
      <c r="H2" s="1244"/>
      <c r="I2" s="1245"/>
    </row>
    <row r="3" spans="1:9" ht="15" thickTop="1" x14ac:dyDescent="0.3">
      <c r="B3" s="1246"/>
      <c r="C3" s="1247"/>
      <c r="D3" s="1247"/>
      <c r="E3" s="1247"/>
      <c r="F3" s="1247"/>
      <c r="G3" s="1247"/>
      <c r="H3" s="1247"/>
      <c r="I3" s="1233"/>
    </row>
    <row r="4" spans="1:9" ht="18" x14ac:dyDescent="0.3">
      <c r="B4" s="1248" t="s">
        <v>255</v>
      </c>
      <c r="C4" s="1247"/>
      <c r="D4" s="1247"/>
      <c r="E4" s="1247"/>
      <c r="F4" s="1247"/>
      <c r="G4" s="1247"/>
      <c r="H4" s="1247"/>
      <c r="I4" s="1233"/>
    </row>
    <row r="5" spans="1:9" ht="15.6" x14ac:dyDescent="0.3">
      <c r="B5" s="1231" t="s">
        <v>256</v>
      </c>
      <c r="C5" s="1232"/>
      <c r="D5" s="1232"/>
      <c r="E5" s="1232"/>
      <c r="F5" s="1232"/>
      <c r="G5" s="1232"/>
      <c r="H5" s="1232"/>
      <c r="I5" s="1233"/>
    </row>
    <row r="6" spans="1:9" x14ac:dyDescent="0.3">
      <c r="B6" s="1231" t="s">
        <v>281</v>
      </c>
      <c r="C6" s="1238"/>
      <c r="D6" s="1238"/>
      <c r="E6" s="1238"/>
      <c r="F6" s="1238"/>
      <c r="G6" s="1238"/>
      <c r="H6" s="1238"/>
      <c r="I6" s="1233"/>
    </row>
    <row r="7" spans="1:9" ht="15.6" x14ac:dyDescent="0.3">
      <c r="B7" s="1231" t="s">
        <v>282</v>
      </c>
      <c r="C7" s="1232"/>
      <c r="D7" s="1232"/>
      <c r="E7" s="1232"/>
      <c r="F7" s="1232"/>
      <c r="G7" s="1232"/>
      <c r="H7" s="1232"/>
      <c r="I7" s="1233"/>
    </row>
    <row r="8" spans="1:9" x14ac:dyDescent="0.3">
      <c r="B8" s="1234" t="s">
        <v>257</v>
      </c>
      <c r="C8" s="1235"/>
      <c r="D8" s="1235"/>
      <c r="E8" s="1235"/>
      <c r="F8" s="1235"/>
      <c r="G8" s="1235"/>
      <c r="H8" s="1235"/>
      <c r="I8" s="1233"/>
    </row>
    <row r="9" spans="1:9" ht="15.6" x14ac:dyDescent="0.3">
      <c r="B9" s="1231" t="s">
        <v>258</v>
      </c>
      <c r="C9" s="1232"/>
      <c r="D9" s="1232"/>
      <c r="E9" s="1232"/>
      <c r="F9" s="1232"/>
      <c r="G9" s="1232"/>
      <c r="H9" s="1232"/>
      <c r="I9" s="1233"/>
    </row>
    <row r="10" spans="1:9" ht="15.6" x14ac:dyDescent="0.3">
      <c r="B10" s="1236" t="s">
        <v>259</v>
      </c>
      <c r="C10" s="1237"/>
      <c r="D10" s="1237"/>
      <c r="E10" s="1237"/>
      <c r="F10" s="1237"/>
      <c r="G10" s="1237"/>
      <c r="H10" s="1237"/>
      <c r="I10" s="1233"/>
    </row>
    <row r="11" spans="1:9" ht="15.6" x14ac:dyDescent="0.3">
      <c r="B11" s="1231" t="s">
        <v>260</v>
      </c>
      <c r="C11" s="1232"/>
      <c r="D11" s="1232"/>
      <c r="E11" s="1232"/>
      <c r="F11" s="1232"/>
      <c r="G11" s="1232"/>
      <c r="H11" s="1232"/>
      <c r="I11" s="1233"/>
    </row>
    <row r="12" spans="1:9" ht="15.6" x14ac:dyDescent="0.3">
      <c r="B12" s="305"/>
      <c r="C12" s="306"/>
      <c r="D12" s="307"/>
      <c r="E12" s="307"/>
      <c r="F12" s="307"/>
      <c r="G12" s="307"/>
      <c r="H12" s="307"/>
      <c r="I12" s="308"/>
    </row>
    <row r="13" spans="1:9" ht="51" x14ac:dyDescent="0.3">
      <c r="B13" s="309" t="s">
        <v>261</v>
      </c>
      <c r="C13" s="309" t="s">
        <v>262</v>
      </c>
      <c r="D13" s="310" t="s">
        <v>263</v>
      </c>
      <c r="E13" s="310" t="s">
        <v>264</v>
      </c>
      <c r="F13" s="310" t="s">
        <v>265</v>
      </c>
      <c r="G13" s="310" t="s">
        <v>266</v>
      </c>
      <c r="H13" s="310" t="s">
        <v>267</v>
      </c>
      <c r="I13" s="310" t="s">
        <v>268</v>
      </c>
    </row>
    <row r="14" spans="1:9" x14ac:dyDescent="0.3">
      <c r="A14" s="311" t="s">
        <v>269</v>
      </c>
      <c r="B14" s="312" t="s">
        <v>270</v>
      </c>
      <c r="C14" s="313" t="s">
        <v>271</v>
      </c>
      <c r="D14" s="314">
        <v>20</v>
      </c>
      <c r="E14" s="315">
        <v>2891532</v>
      </c>
      <c r="F14" s="316">
        <v>0.34623809281238854</v>
      </c>
      <c r="G14" s="317">
        <v>0.75</v>
      </c>
      <c r="H14" s="318">
        <v>750868.89373949356</v>
      </c>
      <c r="I14" s="318">
        <v>825955.78311344294</v>
      </c>
    </row>
    <row r="15" spans="1:9" x14ac:dyDescent="0.3">
      <c r="A15" s="311" t="s">
        <v>269</v>
      </c>
      <c r="B15" s="312" t="s">
        <v>270</v>
      </c>
      <c r="C15" s="313" t="s">
        <v>272</v>
      </c>
      <c r="D15" s="314">
        <v>29</v>
      </c>
      <c r="E15" s="315">
        <v>2891532</v>
      </c>
      <c r="F15" s="316">
        <v>0.6537619071876114</v>
      </c>
      <c r="G15" s="317">
        <v>0.75</v>
      </c>
      <c r="H15" s="318">
        <v>1417780.1062605062</v>
      </c>
      <c r="I15" s="318">
        <v>1559558.1168865568</v>
      </c>
    </row>
    <row r="16" spans="1:9" x14ac:dyDescent="0.3">
      <c r="A16" s="319" t="s">
        <v>273</v>
      </c>
      <c r="B16" s="320" t="s">
        <v>270</v>
      </c>
      <c r="C16" s="321" t="s">
        <v>271</v>
      </c>
      <c r="D16" s="322">
        <v>21</v>
      </c>
      <c r="E16" s="323">
        <v>2944091</v>
      </c>
      <c r="F16" s="324">
        <v>0.39535193004621472</v>
      </c>
      <c r="G16" s="325">
        <v>0.75</v>
      </c>
      <c r="H16" s="326">
        <v>872964.04431126779</v>
      </c>
      <c r="I16" s="326">
        <v>960260.44874239457</v>
      </c>
    </row>
    <row r="17" spans="1:9" x14ac:dyDescent="0.3">
      <c r="A17" s="319" t="s">
        <v>273</v>
      </c>
      <c r="B17" s="320" t="s">
        <v>270</v>
      </c>
      <c r="C17" s="321" t="s">
        <v>272</v>
      </c>
      <c r="D17" s="322">
        <v>21</v>
      </c>
      <c r="E17" s="323">
        <v>2944091</v>
      </c>
      <c r="F17" s="324">
        <v>0.60464806995378528</v>
      </c>
      <c r="G17" s="325">
        <v>0.75</v>
      </c>
      <c r="H17" s="326">
        <v>1335104.2056887322</v>
      </c>
      <c r="I17" s="326">
        <v>1468614.6262576054</v>
      </c>
    </row>
    <row r="18" spans="1:9" x14ac:dyDescent="0.3">
      <c r="A18" s="302" t="s">
        <v>274</v>
      </c>
      <c r="B18" s="327" t="s">
        <v>275</v>
      </c>
      <c r="C18" s="328" t="s">
        <v>276</v>
      </c>
      <c r="D18" s="329">
        <v>21</v>
      </c>
      <c r="E18" s="330">
        <v>3057188</v>
      </c>
      <c r="F18" s="331">
        <v>0.40196643657385045</v>
      </c>
      <c r="G18" s="332">
        <v>0.75</v>
      </c>
      <c r="H18" s="333">
        <v>921665.22472225258</v>
      </c>
      <c r="I18" s="333">
        <v>1013831.7471944778</v>
      </c>
    </row>
    <row r="19" spans="1:9" x14ac:dyDescent="0.3">
      <c r="A19" s="302" t="s">
        <v>274</v>
      </c>
      <c r="B19" s="327" t="s">
        <v>275</v>
      </c>
      <c r="C19" s="328" t="s">
        <v>272</v>
      </c>
      <c r="D19" s="329">
        <v>19</v>
      </c>
      <c r="E19" s="330">
        <v>3057188</v>
      </c>
      <c r="F19" s="331">
        <v>0.59803356342614955</v>
      </c>
      <c r="G19" s="332">
        <v>0.75</v>
      </c>
      <c r="H19" s="333">
        <v>1371225.7752777475</v>
      </c>
      <c r="I19" s="333">
        <v>1508348.3528055223</v>
      </c>
    </row>
    <row r="20" spans="1:9" x14ac:dyDescent="0.3">
      <c r="A20" s="334" t="s">
        <v>277</v>
      </c>
      <c r="B20" s="335" t="s">
        <v>270</v>
      </c>
      <c r="C20" s="335" t="s">
        <v>276</v>
      </c>
      <c r="D20" s="336">
        <v>21</v>
      </c>
      <c r="E20" s="337">
        <v>2964270</v>
      </c>
      <c r="F20" s="338">
        <v>0.47846576777065059</v>
      </c>
      <c r="G20" s="339">
        <v>0.75</v>
      </c>
      <c r="H20" s="340">
        <v>1063726.2910721297</v>
      </c>
      <c r="I20" s="340">
        <v>1170098.9201793426</v>
      </c>
    </row>
    <row r="21" spans="1:9" x14ac:dyDescent="0.3">
      <c r="A21" s="334" t="s">
        <v>277</v>
      </c>
      <c r="B21" s="335" t="s">
        <v>270</v>
      </c>
      <c r="C21" s="335" t="s">
        <v>272</v>
      </c>
      <c r="D21" s="336">
        <v>15</v>
      </c>
      <c r="E21" s="337">
        <v>2964270</v>
      </c>
      <c r="F21" s="338">
        <v>0.52153423222934936</v>
      </c>
      <c r="G21" s="339">
        <v>0.75</v>
      </c>
      <c r="H21" s="340">
        <v>1159476.20892787</v>
      </c>
      <c r="I21" s="340">
        <v>1275423.8298206571</v>
      </c>
    </row>
    <row r="22" spans="1:9" x14ac:dyDescent="0.3">
      <c r="A22" s="341" t="s">
        <v>278</v>
      </c>
      <c r="B22" s="342" t="s">
        <v>275</v>
      </c>
      <c r="C22" s="342" t="s">
        <v>276</v>
      </c>
      <c r="D22" s="343">
        <v>21</v>
      </c>
      <c r="E22" s="344">
        <v>3805886</v>
      </c>
      <c r="F22" s="345">
        <v>0.47846576777065059</v>
      </c>
      <c r="G22" s="346">
        <v>0.75</v>
      </c>
      <c r="H22" s="347">
        <v>1365739.6252781777</v>
      </c>
      <c r="I22" s="347">
        <v>1502313.5878059955</v>
      </c>
    </row>
    <row r="23" spans="1:9" x14ac:dyDescent="0.3">
      <c r="A23" s="341" t="s">
        <v>278</v>
      </c>
      <c r="B23" s="342" t="s">
        <v>275</v>
      </c>
      <c r="C23" s="342" t="s">
        <v>272</v>
      </c>
      <c r="D23" s="343">
        <v>15</v>
      </c>
      <c r="E23" s="344">
        <v>3805886</v>
      </c>
      <c r="F23" s="345">
        <v>0.52153423222934936</v>
      </c>
      <c r="G23" s="346">
        <v>0.75</v>
      </c>
      <c r="H23" s="347">
        <v>1488674.8747218221</v>
      </c>
      <c r="I23" s="347">
        <v>1637542.3621940042</v>
      </c>
    </row>
    <row r="24" spans="1:9" x14ac:dyDescent="0.3">
      <c r="A24" s="348" t="s">
        <v>24</v>
      </c>
      <c r="B24" s="349" t="s">
        <v>270</v>
      </c>
      <c r="C24" s="349" t="s">
        <v>276</v>
      </c>
      <c r="D24" s="350">
        <v>21</v>
      </c>
      <c r="E24" s="351">
        <v>3845305</v>
      </c>
      <c r="F24" s="352">
        <v>0.47846576777065059</v>
      </c>
      <c r="G24" s="353">
        <v>0.75</v>
      </c>
      <c r="H24" s="354">
        <v>1379885.1068529913</v>
      </c>
      <c r="I24" s="354">
        <v>1517873.6175382903</v>
      </c>
    </row>
    <row r="25" spans="1:9" ht="15" thickBot="1" x14ac:dyDescent="0.35">
      <c r="A25" s="348" t="s">
        <v>24</v>
      </c>
      <c r="B25" s="349" t="s">
        <v>270</v>
      </c>
      <c r="C25" s="355" t="s">
        <v>272</v>
      </c>
      <c r="D25" s="356">
        <v>15</v>
      </c>
      <c r="E25" s="357">
        <v>3845305</v>
      </c>
      <c r="F25" s="358">
        <v>0.52153423222934936</v>
      </c>
      <c r="G25" s="359">
        <v>0.75</v>
      </c>
      <c r="H25" s="360">
        <v>1504093.6431470087</v>
      </c>
      <c r="I25" s="360">
        <v>1654503.0074617097</v>
      </c>
    </row>
    <row r="26" spans="1:9" x14ac:dyDescent="0.3">
      <c r="A26" s="361" t="s">
        <v>28</v>
      </c>
      <c r="B26" s="362" t="s">
        <v>270</v>
      </c>
      <c r="C26" s="363" t="s">
        <v>276</v>
      </c>
      <c r="D26" s="364">
        <v>21</v>
      </c>
      <c r="E26" s="365">
        <v>3902214</v>
      </c>
      <c r="F26" s="366">
        <f>D26/(D26+D27)</f>
        <v>0.53846153846153844</v>
      </c>
      <c r="G26" s="367">
        <v>0.75</v>
      </c>
      <c r="H26" s="368">
        <f>E26*F26</f>
        <v>2101192.1538461535</v>
      </c>
      <c r="I26" s="369">
        <v>2205277</v>
      </c>
    </row>
    <row r="27" spans="1:9" ht="15" thickBot="1" x14ac:dyDescent="0.35">
      <c r="A27" s="361" t="s">
        <v>28</v>
      </c>
      <c r="B27" s="362" t="s">
        <v>270</v>
      </c>
      <c r="C27" s="370" t="s">
        <v>272</v>
      </c>
      <c r="D27" s="371">
        <v>18</v>
      </c>
      <c r="E27" s="372">
        <v>3902214</v>
      </c>
      <c r="F27" s="373">
        <f>D27/(D26+D27)</f>
        <v>0.46153846153846156</v>
      </c>
      <c r="G27" s="374">
        <v>0.75</v>
      </c>
      <c r="H27" s="375">
        <f>E27*F27</f>
        <v>1801021.8461538462</v>
      </c>
      <c r="I27" s="376">
        <v>1014049</v>
      </c>
    </row>
    <row r="28" spans="1:9" ht="15" thickBot="1" x14ac:dyDescent="0.35">
      <c r="A28" t="s">
        <v>279</v>
      </c>
      <c r="B28" s="362" t="s">
        <v>270</v>
      </c>
      <c r="C28" s="377" t="s">
        <v>272</v>
      </c>
      <c r="D28" s="378">
        <v>4</v>
      </c>
      <c r="E28" s="379">
        <v>2682000</v>
      </c>
      <c r="F28" s="380">
        <f>D28/(D27+D28)</f>
        <v>0.18181818181818182</v>
      </c>
      <c r="G28" s="381">
        <v>0.75</v>
      </c>
      <c r="H28" s="382">
        <f>E28*F28</f>
        <v>487636.36363636365</v>
      </c>
      <c r="I28" s="383"/>
    </row>
    <row r="29" spans="1:9" ht="15" thickBot="1" x14ac:dyDescent="0.35">
      <c r="A29" t="s">
        <v>279</v>
      </c>
      <c r="B29" s="362" t="s">
        <v>270</v>
      </c>
      <c r="C29" s="377" t="s">
        <v>280</v>
      </c>
      <c r="D29" s="378">
        <v>14</v>
      </c>
      <c r="E29" s="379">
        <v>2682000</v>
      </c>
      <c r="F29" s="380">
        <f>D29/(D28+D29)</f>
        <v>0.77777777777777779</v>
      </c>
      <c r="G29" s="381">
        <v>0.75</v>
      </c>
      <c r="H29" s="382">
        <f>E29*F29</f>
        <v>2086000</v>
      </c>
      <c r="I29" s="383"/>
    </row>
  </sheetData>
  <mergeCells count="11">
    <mergeCell ref="B6:I6"/>
    <mergeCell ref="B1:I1"/>
    <mergeCell ref="B2:I2"/>
    <mergeCell ref="B3:I3"/>
    <mergeCell ref="B4:I4"/>
    <mergeCell ref="B5:I5"/>
    <mergeCell ref="B7:I7"/>
    <mergeCell ref="B8:I8"/>
    <mergeCell ref="B9:I9"/>
    <mergeCell ref="B10:I10"/>
    <mergeCell ref="B11:I1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A6A5D-3585-41B5-8AD6-FB8308BF06EF}">
  <dimension ref="B3:D22"/>
  <sheetViews>
    <sheetView workbookViewId="0">
      <selection activeCell="L19" sqref="L19"/>
    </sheetView>
  </sheetViews>
  <sheetFormatPr defaultRowHeight="14.4" x14ac:dyDescent="0.3"/>
  <sheetData>
    <row r="3" spans="2:4" x14ac:dyDescent="0.3">
      <c r="B3" t="s">
        <v>477</v>
      </c>
    </row>
    <row r="5" spans="2:4" x14ac:dyDescent="0.3">
      <c r="B5" t="s">
        <v>478</v>
      </c>
    </row>
    <row r="7" spans="2:4" x14ac:dyDescent="0.3">
      <c r="B7" t="s">
        <v>479</v>
      </c>
    </row>
    <row r="8" spans="2:4" x14ac:dyDescent="0.3">
      <c r="B8" t="s">
        <v>480</v>
      </c>
      <c r="C8" s="304">
        <v>45032</v>
      </c>
      <c r="D8" s="613">
        <f>C8/C10</f>
        <v>0.42276422764227645</v>
      </c>
    </row>
    <row r="9" spans="2:4" x14ac:dyDescent="0.3">
      <c r="B9">
        <v>22</v>
      </c>
      <c r="C9" s="304">
        <v>61486</v>
      </c>
      <c r="D9" s="613">
        <f>C9/C10</f>
        <v>0.57723577235772361</v>
      </c>
    </row>
    <row r="10" spans="2:4" x14ac:dyDescent="0.3">
      <c r="C10" s="304">
        <f>SUM(C8:C9)</f>
        <v>106518</v>
      </c>
    </row>
    <row r="11" spans="2:4" x14ac:dyDescent="0.3">
      <c r="B11" t="s">
        <v>481</v>
      </c>
      <c r="C11" s="304">
        <v>208780</v>
      </c>
    </row>
    <row r="13" spans="2:4" x14ac:dyDescent="0.3">
      <c r="B13" t="s">
        <v>482</v>
      </c>
    </row>
    <row r="15" spans="2:4" x14ac:dyDescent="0.3">
      <c r="B15" t="s">
        <v>483</v>
      </c>
    </row>
    <row r="17" spans="2:2" x14ac:dyDescent="0.3">
      <c r="B17" t="s">
        <v>488</v>
      </c>
    </row>
    <row r="18" spans="2:2" x14ac:dyDescent="0.3">
      <c r="B18" t="s">
        <v>484</v>
      </c>
    </row>
    <row r="19" spans="2:2" x14ac:dyDescent="0.3">
      <c r="B19" t="s">
        <v>485</v>
      </c>
    </row>
    <row r="20" spans="2:2" x14ac:dyDescent="0.3">
      <c r="B20" t="s">
        <v>486</v>
      </c>
    </row>
    <row r="21" spans="2:2" x14ac:dyDescent="0.3">
      <c r="B21" t="s">
        <v>487</v>
      </c>
    </row>
    <row r="22" spans="2:2" x14ac:dyDescent="0.3">
      <c r="B22" t="s">
        <v>497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BBD74-3EF2-4E5B-BE01-1EBA8676C8CE}">
  <dimension ref="A1:A2"/>
  <sheetViews>
    <sheetView workbookViewId="0">
      <selection activeCell="A3" sqref="A3:XFD25"/>
    </sheetView>
  </sheetViews>
  <sheetFormatPr defaultRowHeight="14.4" x14ac:dyDescent="0.3"/>
  <cols>
    <col min="1" max="1" width="17.5546875" customWidth="1"/>
    <col min="2" max="2" width="8.6640625" customWidth="1"/>
    <col min="3" max="3" width="25.6640625" customWidth="1"/>
    <col min="4" max="4" width="4.6640625" customWidth="1"/>
    <col min="5" max="5" width="9.6640625" customWidth="1"/>
    <col min="6" max="6" width="5.6640625" customWidth="1"/>
  </cols>
  <sheetData>
    <row r="1" spans="1:1" x14ac:dyDescent="0.3">
      <c r="A1" s="86" t="s">
        <v>1199</v>
      </c>
    </row>
    <row r="2" spans="1:1" x14ac:dyDescent="0.3">
      <c r="A2" s="9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0de07c1-9fd0-4bb7-bfb4-09fef9c10305" xsi:nil="true"/>
    <lcf76f155ced4ddcb4097134ff3c332f xmlns="0200bcd3-7895-4dda-959a-6382abce523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6AAC5CF04ACC847984487D0AE1DDB98" ma:contentTypeVersion="19" ma:contentTypeDescription="Create a new document." ma:contentTypeScope="" ma:versionID="4a134606661e1a964dc5cfe387c2252b">
  <xsd:schema xmlns:xsd="http://www.w3.org/2001/XMLSchema" xmlns:xs="http://www.w3.org/2001/XMLSchema" xmlns:p="http://schemas.microsoft.com/office/2006/metadata/properties" xmlns:ns2="0200bcd3-7895-4dda-959a-6382abce5233" xmlns:ns3="80de07c1-9fd0-4bb7-bfb4-09fef9c10305" targetNamespace="http://schemas.microsoft.com/office/2006/metadata/properties" ma:root="true" ma:fieldsID="082f40d709d6c4240cacbb3cd6e9a6d2" ns2:_="" ns3:_="">
    <xsd:import namespace="0200bcd3-7895-4dda-959a-6382abce5233"/>
    <xsd:import namespace="80de07c1-9fd0-4bb7-bfb4-09fef9c1030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00bcd3-7895-4dda-959a-6382abce52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5275bea-d2d5-48ff-9e03-e3cfe37ae2f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0de07c1-9fd0-4bb7-bfb4-09fef9c10305"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f89097d-6151-43ee-8e4c-c1e788623829}" ma:internalName="TaxCatchAll" ma:showField="CatchAllData" ma:web="80de07c1-9fd0-4bb7-bfb4-09fef9c1030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8B9731-B545-4BFD-A84C-1D49A217FD93}">
  <ds:schemaRefs>
    <ds:schemaRef ds:uri="http://schemas.microsoft.com/sharepoint/v3/contenttype/forms"/>
  </ds:schemaRefs>
</ds:datastoreItem>
</file>

<file path=customXml/itemProps2.xml><?xml version="1.0" encoding="utf-8"?>
<ds:datastoreItem xmlns:ds="http://schemas.openxmlformats.org/officeDocument/2006/customXml" ds:itemID="{9151DF6A-A1BF-4C89-A472-5C8A973D369C}">
  <ds:schemaRefs>
    <ds:schemaRef ds:uri="http://www.w3.org/XML/1998/namespace"/>
    <ds:schemaRef ds:uri="http://schemas.microsoft.com/office/2006/metadata/properties"/>
    <ds:schemaRef ds:uri="http://purl.org/dc/elements/1.1/"/>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8f875027-bef7-49ae-98d3-357464b05f40"/>
    <ds:schemaRef ds:uri="http://purl.org/dc/dcmitype/"/>
    <ds:schemaRef ds:uri="80de07c1-9fd0-4bb7-bfb4-09fef9c10305"/>
    <ds:schemaRef ds:uri="0200bcd3-7895-4dda-959a-6382abce5233"/>
  </ds:schemaRefs>
</ds:datastoreItem>
</file>

<file path=customXml/itemProps3.xml><?xml version="1.0" encoding="utf-8"?>
<ds:datastoreItem xmlns:ds="http://schemas.openxmlformats.org/officeDocument/2006/customXml" ds:itemID="{30864A7B-1AB5-41DA-89D7-8F9BA2F203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00bcd3-7895-4dda-959a-6382abce5233"/>
    <ds:schemaRef ds:uri="80de07c1-9fd0-4bb7-bfb4-09fef9c103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4</vt:i4>
      </vt:variant>
    </vt:vector>
  </HeadingPairs>
  <TitlesOfParts>
    <vt:vector size="27" baseType="lpstr">
      <vt:lpstr>For Slides</vt:lpstr>
      <vt:lpstr>ASSUMPTIONS</vt:lpstr>
      <vt:lpstr>SRTP - COMP Factors</vt:lpstr>
      <vt:lpstr>Regional COMPs</vt:lpstr>
      <vt:lpstr>Fare Assumptions</vt:lpstr>
      <vt:lpstr>VRH Rates</vt:lpstr>
      <vt:lpstr>Avg Pass, Mile Per Hr</vt:lpstr>
      <vt:lpstr>Operating </vt:lpstr>
      <vt:lpstr>Zone 1-5 Peak Vehicles</vt:lpstr>
      <vt:lpstr>FY27 Financial Forecast</vt:lpstr>
      <vt:lpstr>FTA FY27 Sub Allocation Exampl </vt:lpstr>
      <vt:lpstr>rt 19,22,28 Cost Share</vt:lpstr>
      <vt:lpstr>FTA Sub Allocation 2024 Model</vt:lpstr>
      <vt:lpstr>FTA FY23 FULL Modified</vt:lpstr>
      <vt:lpstr>FY 2024 5307 &amp; 5340 Table 3 (2)</vt:lpstr>
      <vt:lpstr>Expense Detail</vt:lpstr>
      <vt:lpstr>Service Parameters</vt:lpstr>
      <vt:lpstr>Lake Link 23-24 Data</vt:lpstr>
      <vt:lpstr>TTD 2022 NTD DATA</vt:lpstr>
      <vt:lpstr>SSTMA CY24 Budget</vt:lpstr>
      <vt:lpstr>Operating Assistance</vt:lpstr>
      <vt:lpstr>Kira's Total Revenue Miles</vt:lpstr>
      <vt:lpstr>Capital</vt:lpstr>
      <vt:lpstr>'For Slides'!Print_Area</vt:lpstr>
      <vt:lpstr>'FY 2024 5307 &amp; 5340 Table 3 (2)'!Print_Area</vt:lpstr>
      <vt:lpstr>'FY27 Financial Forecast'!Print_Area</vt:lpstr>
      <vt:lpstr>'FY 2024 5307 &amp; 5340 Table 3 (2)'!Print_Titles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Raymond Suarez</dc:creator>
  <cp:keywords/>
  <dc:description/>
  <cp:lastModifiedBy>Kira Richardson</cp:lastModifiedBy>
  <cp:revision/>
  <cp:lastPrinted>2024-11-15T16:19:11Z</cp:lastPrinted>
  <dcterms:created xsi:type="dcterms:W3CDTF">2023-01-18T22:12:54Z</dcterms:created>
  <dcterms:modified xsi:type="dcterms:W3CDTF">2026-06-12T22:24:15Z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0x010100F6AAC5CF04ACC847984487D0AE1DDB98</vt:lpwstr>
  </property>
  <property fmtid="{D5CDD505-2E9C-101B-9397-08002B2CF9AE}" pid="3" name="MediaServiceImageTags">
    <vt:lpwstr/>
  </property>
</Properties>
</file>