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tahoeregionalplanning.sharepoint.com/sites/Transportation/Shared Documents/Transit/Tahoe Transit Study (COA)/4. Funding Implementation Memo/"/>
    </mc:Choice>
  </mc:AlternateContent>
  <xr:revisionPtr revIDLastSave="74" documentId="13_ncr:1_{4EF88AA2-4C4A-4F80-ADFB-D52A2733E147}" xr6:coauthVersionLast="47" xr6:coauthVersionMax="47" xr10:uidLastSave="{C81374CD-641D-48DA-9653-D937DED580C1}"/>
  <bookViews>
    <workbookView xWindow="-96" yWindow="-96" windowWidth="23232" windowHeight="13872" firstSheet="13" activeTab="13" xr2:uid="{6E002DCC-0CC9-473D-9D28-5E6EB685CB0E}"/>
  </bookViews>
  <sheets>
    <sheet name="For Slides" sheetId="8" state="hidden" r:id="rId1"/>
    <sheet name="Financial Plan OUTPUTS&gt;&gt;&gt;" sheetId="47" r:id="rId2"/>
    <sheet name="T1 Summary Table" sheetId="58" r:id="rId3"/>
    <sheet name="Questions" sheetId="59" r:id="rId4"/>
    <sheet name="T2-4 A1 TTD LL Costs" sheetId="34" r:id="rId5"/>
    <sheet name="T5-7 TART TNTTMA FinancialPlan" sheetId="37" r:id="rId6"/>
    <sheet name="t 8-10 Capital Plan" sheetId="38" r:id="rId7"/>
    <sheet name="INPUTS&gt;&gt;&gt;" sheetId="45" r:id="rId8"/>
    <sheet name="VRH Rates" sheetId="31" r:id="rId9"/>
    <sheet name="Fare Rates" sheetId="26" r:id="rId10"/>
    <sheet name="Operating Stats" sheetId="46" r:id="rId11"/>
    <sheet name="FTA Allocation Split (26-27)" sheetId="40" r:id="rId12"/>
    <sheet name="Actual Revenues" sheetId="56" r:id="rId13"/>
    <sheet name="Revenue %s" sheetId="54" r:id="rId14"/>
    <sheet name="Per Route Model" sheetId="53" r:id="rId15"/>
    <sheet name="TTD FY27 budget" sheetId="50" r:id="rId16"/>
    <sheet name="TART Rev" sheetId="51" r:id="rId17"/>
    <sheet name="TNTTMA $" sheetId="57" r:id="rId18"/>
    <sheet name="25_26 FTA Funding Split (INFO)" sheetId="36" r:id="rId19"/>
    <sheet name="Left over from Raymond Model&gt;&gt;&gt;" sheetId="49" r:id="rId20"/>
    <sheet name="SRTP - COMP Factors" sheetId="24" r:id="rId21"/>
    <sheet name="Regional COMPs" sheetId="30" r:id="rId22"/>
    <sheet name="TTD 2022 NTD DATA" sheetId="19" r:id="rId23"/>
    <sheet name="Operating Assistance" sheetId="10" r:id="rId24"/>
    <sheet name="Avg Pass, Mile Per Hr" sheetId="32"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'[1]RT 21'!#REF!</definedName>
    <definedName name="\MM">'[1]RT 21'!#REF!</definedName>
    <definedName name="\P">'[1]RT 21'!#REF!</definedName>
    <definedName name="\PP">'[1]RT 21'!#REF!</definedName>
    <definedName name="\S">'[1]RT 21'!#REF!</definedName>
    <definedName name="\SS">'[1]RT 21'!#REF!</definedName>
    <definedName name="____________________________JUL11">'[2]FY03-04 Budget'!#REF!</definedName>
    <definedName name="____________________________JUL29">'[2]FY03-04 Budget'!#REF!</definedName>
    <definedName name="____________________________JUL34">'[2]FY03-04 Budget'!#REF!</definedName>
    <definedName name="____________________________JUN30">'[2]FY03-04 Budget'!#REF!</definedName>
    <definedName name="____________________________JUN36">'[2]FY03-04 Budget'!#REF!</definedName>
    <definedName name="____________________________MAY10">'[3]MAY '!$E$10</definedName>
    <definedName name="____________________________MAY11">'[3]MAY '!$E$11</definedName>
    <definedName name="____________________________MAY14">'[3]MAY '!$E$14</definedName>
    <definedName name="____________________________MAY15">'[3]MAY '!$E$15</definedName>
    <definedName name="____________________________MAY16">'[3]MAY '!$E$16</definedName>
    <definedName name="____________________________MAY17">'[3]MAY '!$E$17</definedName>
    <definedName name="____________________________MAY18">'[3]MAY '!$E$18</definedName>
    <definedName name="____________________________MAY19">'[3]MAY '!$E$19</definedName>
    <definedName name="____________________________MAY20">'[3]MAY '!$E$20</definedName>
    <definedName name="____________________________MAY21">'[3]MAY '!$E$21</definedName>
    <definedName name="____________________________MAY22">'[3]MAY '!$E$22</definedName>
    <definedName name="____________________________MAY23">'[3]MAY '!$E$23</definedName>
    <definedName name="____________________________MAY24">'[3]MAY '!$E$24</definedName>
    <definedName name="____________________________MAY25">'[3]MAY '!$E$25</definedName>
    <definedName name="____________________________MAY26">'[3]MAY '!$E$26</definedName>
    <definedName name="____________________________MAY27">'[3]MAY '!$E$27</definedName>
    <definedName name="____________________________MAY28">'[3]MAY '!$E$28</definedName>
    <definedName name="____________________________MAY30">'[3]MAY '!$E$30</definedName>
    <definedName name="____________________________MAY33">'[3]MAY '!$E$33</definedName>
    <definedName name="____________________________MAY34">'[3]MAY '!$E$34</definedName>
    <definedName name="____________________________MAY35">'[3]MAY '!$E$35</definedName>
    <definedName name="____________________________MAY4">'[3]MAY '!$E$4</definedName>
    <definedName name="____________________________MAY5">'[3]MAY '!$E$5</definedName>
    <definedName name="____________________________MAY6">'[3]MAY '!$E$6</definedName>
    <definedName name="____________________________MAY7">'[3]MAY '!$E$7</definedName>
    <definedName name="____________________________MAY8">'[3]MAY '!$E$8</definedName>
    <definedName name="____________________________MAY9">'[3]MAY '!$E$9</definedName>
    <definedName name="_____________________JUL11">'[2]FY03-04 Budget'!#REF!</definedName>
    <definedName name="_____________________JUL29">'[2]FY03-04 Budget'!#REF!</definedName>
    <definedName name="_____________________JUL34">'[2]FY03-04 Budget'!#REF!</definedName>
    <definedName name="_____________________JUN30">'[2]FY03-04 Budget'!#REF!</definedName>
    <definedName name="_____________________JUN36">'[2]FY03-04 Budget'!#REF!</definedName>
    <definedName name="_____________________MAY10">'[3]MAY '!$E$10</definedName>
    <definedName name="_____________________MAY11">'[3]MAY '!$E$11</definedName>
    <definedName name="_____________________MAY14">'[3]MAY '!$E$14</definedName>
    <definedName name="_____________________MAY15">'[3]MAY '!$E$15</definedName>
    <definedName name="_____________________MAY16">'[3]MAY '!$E$16</definedName>
    <definedName name="_____________________MAY17">'[3]MAY '!$E$17</definedName>
    <definedName name="_____________________MAY18">'[3]MAY '!$E$18</definedName>
    <definedName name="_____________________MAY19">'[3]MAY '!$E$19</definedName>
    <definedName name="_____________________MAY20">'[3]MAY '!$E$20</definedName>
    <definedName name="_____________________MAY21">'[3]MAY '!$E$21</definedName>
    <definedName name="_____________________MAY22">'[3]MAY '!$E$22</definedName>
    <definedName name="_____________________MAY23">'[3]MAY '!$E$23</definedName>
    <definedName name="_____________________MAY24">'[3]MAY '!$E$24</definedName>
    <definedName name="_____________________MAY25">'[3]MAY '!$E$25</definedName>
    <definedName name="_____________________MAY26">'[3]MAY '!$E$26</definedName>
    <definedName name="_____________________MAY27">'[3]MAY '!$E$27</definedName>
    <definedName name="_____________________MAY28">'[3]MAY '!$E$28</definedName>
    <definedName name="_____________________MAY30">'[3]MAY '!$E$30</definedName>
    <definedName name="_____________________MAY33">'[3]MAY '!$E$33</definedName>
    <definedName name="_____________________MAY34">'[3]MAY '!$E$34</definedName>
    <definedName name="_____________________MAY35">'[3]MAY '!$E$35</definedName>
    <definedName name="_____________________MAY4">'[3]MAY '!$E$4</definedName>
    <definedName name="_____________________MAY5">'[3]MAY '!$E$5</definedName>
    <definedName name="_____________________MAY6">'[3]MAY '!$E$6</definedName>
    <definedName name="_____________________MAY7">'[3]MAY '!$E$7</definedName>
    <definedName name="_____________________MAY8">'[3]MAY '!$E$8</definedName>
    <definedName name="_____________________MAY9">'[3]MAY '!$E$9</definedName>
    <definedName name="____________________JUL11">'[2]FY03-04 Budget'!#REF!</definedName>
    <definedName name="____________________JUL29">'[2]FY03-04 Budget'!#REF!</definedName>
    <definedName name="____________________JUL34">'[2]FY03-04 Budget'!#REF!</definedName>
    <definedName name="____________________JUN30">'[2]FY03-04 Budget'!#REF!</definedName>
    <definedName name="____________________JUN36">'[2]FY03-04 Budget'!#REF!</definedName>
    <definedName name="____________________MAY10">'[3]MAY '!$E$10</definedName>
    <definedName name="____________________MAY11">'[3]MAY '!$E$11</definedName>
    <definedName name="____________________MAY14">'[3]MAY '!$E$14</definedName>
    <definedName name="____________________MAY15">'[3]MAY '!$E$15</definedName>
    <definedName name="____________________MAY16">'[3]MAY '!$E$16</definedName>
    <definedName name="____________________MAY17">'[3]MAY '!$E$17</definedName>
    <definedName name="____________________MAY18">'[3]MAY '!$E$18</definedName>
    <definedName name="____________________MAY19">'[3]MAY '!$E$19</definedName>
    <definedName name="____________________MAY20">'[3]MAY '!$E$20</definedName>
    <definedName name="____________________MAY21">'[3]MAY '!$E$21</definedName>
    <definedName name="____________________MAY22">'[3]MAY '!$E$22</definedName>
    <definedName name="____________________MAY23">'[3]MAY '!$E$23</definedName>
    <definedName name="____________________MAY24">'[3]MAY '!$E$24</definedName>
    <definedName name="____________________MAY25">'[3]MAY '!$E$25</definedName>
    <definedName name="____________________MAY26">'[3]MAY '!$E$26</definedName>
    <definedName name="____________________MAY27">'[3]MAY '!$E$27</definedName>
    <definedName name="____________________MAY28">'[3]MAY '!$E$28</definedName>
    <definedName name="____________________MAY30">'[3]MAY '!$E$30</definedName>
    <definedName name="____________________MAY33">'[3]MAY '!$E$33</definedName>
    <definedName name="____________________MAY34">'[3]MAY '!$E$34</definedName>
    <definedName name="____________________MAY35">'[3]MAY '!$E$35</definedName>
    <definedName name="____________________MAY4">'[3]MAY '!$E$4</definedName>
    <definedName name="____________________MAY5">'[3]MAY '!$E$5</definedName>
    <definedName name="____________________MAY6">'[3]MAY '!$E$6</definedName>
    <definedName name="____________________MAY7">'[3]MAY '!$E$7</definedName>
    <definedName name="____________________MAY8">'[3]MAY '!$E$8</definedName>
    <definedName name="____________________MAY9">'[3]MAY '!$E$9</definedName>
    <definedName name="___________________JUL11">'[4]FY03-04 Budget'!#REF!</definedName>
    <definedName name="___________________JUL29">'[4]FY03-04 Budget'!#REF!</definedName>
    <definedName name="___________________JUL34">'[4]FY03-04 Budget'!#REF!</definedName>
    <definedName name="___________________JUN30">'[4]FY03-04 Budget'!#REF!</definedName>
    <definedName name="___________________JUN36">'[4]FY03-04 Budget'!#REF!</definedName>
    <definedName name="___________________MAY10">'[5]MAY '!$E$10</definedName>
    <definedName name="___________________MAY11">'[5]MAY '!$E$11</definedName>
    <definedName name="___________________MAY14">'[5]MAY '!$E$14</definedName>
    <definedName name="___________________MAY15">'[5]MAY '!$E$15</definedName>
    <definedName name="___________________MAY16">'[5]MAY '!$E$16</definedName>
    <definedName name="___________________MAY17">'[5]MAY '!$E$17</definedName>
    <definedName name="___________________MAY18">'[5]MAY '!$E$18</definedName>
    <definedName name="___________________MAY19">'[5]MAY '!$E$19</definedName>
    <definedName name="___________________MAY20">'[5]MAY '!$E$20</definedName>
    <definedName name="___________________MAY21">'[5]MAY '!$E$21</definedName>
    <definedName name="___________________MAY22">'[5]MAY '!$E$22</definedName>
    <definedName name="___________________MAY23">'[5]MAY '!$E$23</definedName>
    <definedName name="___________________MAY24">'[5]MAY '!$E$24</definedName>
    <definedName name="___________________MAY25">'[5]MAY '!$E$25</definedName>
    <definedName name="___________________MAY26">'[5]MAY '!$E$26</definedName>
    <definedName name="___________________MAY27">'[5]MAY '!$E$27</definedName>
    <definedName name="___________________MAY28">'[5]MAY '!$E$28</definedName>
    <definedName name="___________________MAY30">'[5]MAY '!$E$30</definedName>
    <definedName name="___________________MAY33">'[5]MAY '!$E$33</definedName>
    <definedName name="___________________MAY34">'[5]MAY '!$E$34</definedName>
    <definedName name="___________________MAY35">'[5]MAY '!$E$35</definedName>
    <definedName name="___________________MAY4">'[5]MAY '!$E$4</definedName>
    <definedName name="___________________MAY5">'[5]MAY '!$E$5</definedName>
    <definedName name="___________________MAY6">'[5]MAY '!$E$6</definedName>
    <definedName name="___________________MAY7">'[5]MAY '!$E$7</definedName>
    <definedName name="___________________MAY8">'[5]MAY '!$E$8</definedName>
    <definedName name="___________________MAY9">'[5]MAY '!$E$9</definedName>
    <definedName name="__________________JUL11">'[4]FY03-04 Budget'!#REF!</definedName>
    <definedName name="__________________JUL29">'[4]FY03-04 Budget'!#REF!</definedName>
    <definedName name="__________________JUL34">'[4]FY03-04 Budget'!#REF!</definedName>
    <definedName name="__________________JUN30">'[4]FY03-04 Budget'!#REF!</definedName>
    <definedName name="__________________JUN36">'[4]FY03-04 Budget'!#REF!</definedName>
    <definedName name="__________________MAY10">'[5]MAY '!$E$10</definedName>
    <definedName name="__________________MAY11">'[5]MAY '!$E$11</definedName>
    <definedName name="__________________MAY14">'[5]MAY '!$E$14</definedName>
    <definedName name="__________________MAY15">'[5]MAY '!$E$15</definedName>
    <definedName name="__________________MAY16">'[5]MAY '!$E$16</definedName>
    <definedName name="__________________MAY17">'[5]MAY '!$E$17</definedName>
    <definedName name="__________________MAY18">'[5]MAY '!$E$18</definedName>
    <definedName name="__________________MAY19">'[5]MAY '!$E$19</definedName>
    <definedName name="__________________MAY20">'[5]MAY '!$E$20</definedName>
    <definedName name="__________________MAY21">'[5]MAY '!$E$21</definedName>
    <definedName name="__________________MAY22">'[5]MAY '!$E$22</definedName>
    <definedName name="__________________MAY23">'[5]MAY '!$E$23</definedName>
    <definedName name="__________________MAY24">'[5]MAY '!$E$24</definedName>
    <definedName name="__________________MAY25">'[5]MAY '!$E$25</definedName>
    <definedName name="__________________MAY26">'[5]MAY '!$E$26</definedName>
    <definedName name="__________________MAY27">'[5]MAY '!$E$27</definedName>
    <definedName name="__________________MAY28">'[5]MAY '!$E$28</definedName>
    <definedName name="__________________MAY30">'[5]MAY '!$E$30</definedName>
    <definedName name="__________________MAY33">'[5]MAY '!$E$33</definedName>
    <definedName name="__________________MAY34">'[5]MAY '!$E$34</definedName>
    <definedName name="__________________MAY35">'[5]MAY '!$E$35</definedName>
    <definedName name="__________________MAY4">'[5]MAY '!$E$4</definedName>
    <definedName name="__________________MAY5">'[5]MAY '!$E$5</definedName>
    <definedName name="__________________MAY6">'[5]MAY '!$E$6</definedName>
    <definedName name="__________________MAY7">'[5]MAY '!$E$7</definedName>
    <definedName name="__________________MAY8">'[5]MAY '!$E$8</definedName>
    <definedName name="__________________MAY9">'[5]MAY '!$E$9</definedName>
    <definedName name="_________________C">#N/A</definedName>
    <definedName name="_________________j1">'[2]FY03-04 Budget'!#REF!</definedName>
    <definedName name="_________________JUL11">'[2]FY03-04 Budget'!#REF!</definedName>
    <definedName name="_________________JUL29">'[2]FY03-04 Budget'!#REF!</definedName>
    <definedName name="_________________JUL34">'[2]FY03-04 Budget'!#REF!</definedName>
    <definedName name="_________________JUN30">'[2]FY03-04 Budget'!#REF!</definedName>
    <definedName name="_________________JUN36">'[2]FY03-04 Budget'!#REF!</definedName>
    <definedName name="_________________MAY10">'[3]MAY '!$E$10</definedName>
    <definedName name="_________________MAY11">'[3]MAY '!$E$11</definedName>
    <definedName name="_________________MAY14">'[3]MAY '!$E$14</definedName>
    <definedName name="_________________MAY15">'[3]MAY '!$E$15</definedName>
    <definedName name="_________________MAY16">'[3]MAY '!$E$16</definedName>
    <definedName name="_________________MAY17">'[3]MAY '!$E$17</definedName>
    <definedName name="_________________MAY18">'[3]MAY '!$E$18</definedName>
    <definedName name="_________________MAY19">'[3]MAY '!$E$19</definedName>
    <definedName name="_________________MAY20">'[3]MAY '!$E$20</definedName>
    <definedName name="_________________MAY21">'[3]MAY '!$E$21</definedName>
    <definedName name="_________________MAY22">'[3]MAY '!$E$22</definedName>
    <definedName name="_________________MAY23">'[3]MAY '!$E$23</definedName>
    <definedName name="_________________MAY24">'[3]MAY '!$E$24</definedName>
    <definedName name="_________________MAY25">'[3]MAY '!$E$25</definedName>
    <definedName name="_________________MAY26">'[3]MAY '!$E$26</definedName>
    <definedName name="_________________MAY27">'[3]MAY '!$E$27</definedName>
    <definedName name="_________________MAY28">'[3]MAY '!$E$28</definedName>
    <definedName name="_________________MAY30">'[3]MAY '!$E$30</definedName>
    <definedName name="_________________MAY33">'[3]MAY '!$E$33</definedName>
    <definedName name="_________________MAY34">'[3]MAY '!$E$34</definedName>
    <definedName name="_________________MAY35">'[3]MAY '!$E$35</definedName>
    <definedName name="_________________MAY4">'[3]MAY '!$E$4</definedName>
    <definedName name="_________________MAY5">'[3]MAY '!$E$5</definedName>
    <definedName name="_________________MAY6">'[3]MAY '!$E$6</definedName>
    <definedName name="_________________MAY7">'[3]MAY '!$E$7</definedName>
    <definedName name="_________________MAY8">'[3]MAY '!$E$8</definedName>
    <definedName name="_________________MAY9">'[3]MAY '!$E$9</definedName>
    <definedName name="_________________R">#N/A</definedName>
    <definedName name="________________C">#N/A</definedName>
    <definedName name="________________j1">'[2]FY03-04 Budget'!#REF!</definedName>
    <definedName name="________________JUL11">'[4]FY03-04 Budget'!#REF!</definedName>
    <definedName name="________________JUL27">'[6]FY03-04 Budget'!$C$29</definedName>
    <definedName name="________________JUL29">'[4]FY03-04 Budget'!#REF!</definedName>
    <definedName name="________________JUL34">'[4]FY03-04 Budget'!#REF!</definedName>
    <definedName name="________________JUN10">'[7]JUNE '!$E$10</definedName>
    <definedName name="________________JUN11">'[7]JUNE '!$E$11</definedName>
    <definedName name="________________JUN15">'[7]JUNE '!$E$15</definedName>
    <definedName name="________________JUN16">'[7]JUNE '!$E$16</definedName>
    <definedName name="________________JUN17">'[7]JUNE '!$E$17</definedName>
    <definedName name="________________JUN19">'[7]JUNE '!$E$19</definedName>
    <definedName name="________________JUN20">'[7]JUNE '!$E$20</definedName>
    <definedName name="________________JUN22">'[7]JUNE '!$E$22</definedName>
    <definedName name="________________JUN23">'[7]JUNE '!$E$23</definedName>
    <definedName name="________________JUN24">'[7]JUNE '!$E$24</definedName>
    <definedName name="________________JUN25">'[7]JUNE '!$E$25</definedName>
    <definedName name="________________JUN26">'[7]JUNE '!$E$26</definedName>
    <definedName name="________________JUN27">'[7]JUNE '!$E$27</definedName>
    <definedName name="________________JUN28">'[7]JUNE '!$E$28</definedName>
    <definedName name="________________JUN29">'[7]JUNE '!$E$29</definedName>
    <definedName name="________________JUN30">'[4]FY03-04 Budget'!#REF!</definedName>
    <definedName name="________________JUN36">'[4]FY03-04 Budget'!#REF!</definedName>
    <definedName name="________________JUN4">'[7]JUNE '!$E$4</definedName>
    <definedName name="________________JUN5">'[7]JUNE '!$E$5</definedName>
    <definedName name="________________JUN6">'[7]JUNE '!$E$6</definedName>
    <definedName name="________________JUN7">'[7]JUNE '!$E$7</definedName>
    <definedName name="________________JUN8">'[7]JUNE '!$E$8</definedName>
    <definedName name="________________JUN9">'[7]JUNE '!$E$9</definedName>
    <definedName name="________________MAY10">'[5]MAY '!$E$10</definedName>
    <definedName name="________________MAY11">'[5]MAY '!$E$11</definedName>
    <definedName name="________________MAY14">'[5]MAY '!$E$14</definedName>
    <definedName name="________________MAY15">'[5]MAY '!$E$15</definedName>
    <definedName name="________________MAY16">'[5]MAY '!$E$16</definedName>
    <definedName name="________________MAY17">'[5]MAY '!$E$17</definedName>
    <definedName name="________________MAY18">'[5]MAY '!$E$18</definedName>
    <definedName name="________________MAY19">'[5]MAY '!$E$19</definedName>
    <definedName name="________________MAY20">'[5]MAY '!$E$20</definedName>
    <definedName name="________________MAY21">'[5]MAY '!$E$21</definedName>
    <definedName name="________________MAY22">'[5]MAY '!$E$22</definedName>
    <definedName name="________________MAY23">'[5]MAY '!$E$23</definedName>
    <definedName name="________________MAY24">'[5]MAY '!$E$24</definedName>
    <definedName name="________________MAY25">'[5]MAY '!$E$25</definedName>
    <definedName name="________________MAY26">'[5]MAY '!$E$26</definedName>
    <definedName name="________________MAY27">'[5]MAY '!$E$27</definedName>
    <definedName name="________________MAY28">'[5]MAY '!$E$28</definedName>
    <definedName name="________________MAY30">'[5]MAY '!$E$30</definedName>
    <definedName name="________________MAY33">'[5]MAY '!$E$33</definedName>
    <definedName name="________________MAY34">'[5]MAY '!$E$34</definedName>
    <definedName name="________________MAY35">'[5]MAY '!$E$35</definedName>
    <definedName name="________________MAY4">'[5]MAY '!$E$4</definedName>
    <definedName name="________________MAY5">'[5]MAY '!$E$5</definedName>
    <definedName name="________________MAY6">'[5]MAY '!$E$6</definedName>
    <definedName name="________________MAY7">'[5]MAY '!$E$7</definedName>
    <definedName name="________________MAY8">'[5]MAY '!$E$8</definedName>
    <definedName name="________________MAY9">'[5]MAY '!$E$9</definedName>
    <definedName name="________________R">#N/A</definedName>
    <definedName name="_______________C">#N/A</definedName>
    <definedName name="_______________j1">'[2]FY03-04 Budget'!#REF!</definedName>
    <definedName name="_______________JUL11">'[4]FY03-04 Budget'!#REF!</definedName>
    <definedName name="_______________JUL27">'[6]FY03-04 Budget'!$C$29</definedName>
    <definedName name="_______________JUL29">'[4]FY03-04 Budget'!#REF!</definedName>
    <definedName name="_______________JUL34">'[4]FY03-04 Budget'!#REF!</definedName>
    <definedName name="_______________JUN10">'[7]JUNE '!$E$10</definedName>
    <definedName name="_______________JUN11">'[7]JUNE '!$E$11</definedName>
    <definedName name="_______________JUN15">'[7]JUNE '!$E$15</definedName>
    <definedName name="_______________JUN16">'[7]JUNE '!$E$16</definedName>
    <definedName name="_______________JUN17">'[7]JUNE '!$E$17</definedName>
    <definedName name="_______________JUN19">'[7]JUNE '!$E$19</definedName>
    <definedName name="_______________JUN20">'[7]JUNE '!$E$20</definedName>
    <definedName name="_______________JUN22">'[7]JUNE '!$E$22</definedName>
    <definedName name="_______________JUN23">'[7]JUNE '!$E$23</definedName>
    <definedName name="_______________JUN24">'[7]JUNE '!$E$24</definedName>
    <definedName name="_______________JUN25">'[7]JUNE '!$E$25</definedName>
    <definedName name="_______________JUN26">'[7]JUNE '!$E$26</definedName>
    <definedName name="_______________JUN27">'[7]JUNE '!$E$27</definedName>
    <definedName name="_______________JUN28">'[7]JUNE '!$E$28</definedName>
    <definedName name="_______________JUN29">'[7]JUNE '!$E$29</definedName>
    <definedName name="_______________JUN30">'[4]FY03-04 Budget'!#REF!</definedName>
    <definedName name="_______________JUN36">'[4]FY03-04 Budget'!#REF!</definedName>
    <definedName name="_______________JUN4">'[7]JUNE '!$E$4</definedName>
    <definedName name="_______________JUN5">'[7]JUNE '!$E$5</definedName>
    <definedName name="_______________JUN6">'[7]JUNE '!$E$6</definedName>
    <definedName name="_______________JUN7">'[7]JUNE '!$E$7</definedName>
    <definedName name="_______________JUN8">'[7]JUNE '!$E$8</definedName>
    <definedName name="_______________JUN9">'[7]JUNE '!$E$9</definedName>
    <definedName name="_______________MAY10">'[5]MAY '!$E$10</definedName>
    <definedName name="_______________MAY11">'[5]MAY '!$E$11</definedName>
    <definedName name="_______________MAY14">'[5]MAY '!$E$14</definedName>
    <definedName name="_______________MAY15">'[5]MAY '!$E$15</definedName>
    <definedName name="_______________MAY16">'[5]MAY '!$E$16</definedName>
    <definedName name="_______________MAY17">'[5]MAY '!$E$17</definedName>
    <definedName name="_______________MAY18">'[5]MAY '!$E$18</definedName>
    <definedName name="_______________MAY19">'[5]MAY '!$E$19</definedName>
    <definedName name="_______________MAY20">'[5]MAY '!$E$20</definedName>
    <definedName name="_______________MAY21">'[5]MAY '!$E$21</definedName>
    <definedName name="_______________MAY22">'[5]MAY '!$E$22</definedName>
    <definedName name="_______________MAY23">'[5]MAY '!$E$23</definedName>
    <definedName name="_______________MAY24">'[5]MAY '!$E$24</definedName>
    <definedName name="_______________MAY25">'[5]MAY '!$E$25</definedName>
    <definedName name="_______________MAY26">'[5]MAY '!$E$26</definedName>
    <definedName name="_______________MAY27">'[5]MAY '!$E$27</definedName>
    <definedName name="_______________MAY28">'[5]MAY '!$E$28</definedName>
    <definedName name="_______________MAY30">'[5]MAY '!$E$30</definedName>
    <definedName name="_______________MAY33">'[5]MAY '!$E$33</definedName>
    <definedName name="_______________MAY34">'[5]MAY '!$E$34</definedName>
    <definedName name="_______________MAY35">'[5]MAY '!$E$35</definedName>
    <definedName name="_______________MAY4">'[5]MAY '!$E$4</definedName>
    <definedName name="_______________MAY5">'[5]MAY '!$E$5</definedName>
    <definedName name="_______________MAY6">'[5]MAY '!$E$6</definedName>
    <definedName name="_______________MAY7">'[5]MAY '!$E$7</definedName>
    <definedName name="_______________MAY8">'[5]MAY '!$E$8</definedName>
    <definedName name="_______________MAY9">'[5]MAY '!$E$9</definedName>
    <definedName name="_______________R">#N/A</definedName>
    <definedName name="______________C">#N/A</definedName>
    <definedName name="______________j1">'[2]FY03-04 Budget'!#REF!</definedName>
    <definedName name="______________JUL11">'[4]FY03-04 Budget'!#REF!</definedName>
    <definedName name="______________JUL27">'[6]FY03-04 Budget'!$C$29</definedName>
    <definedName name="______________JUL29">'[4]FY03-04 Budget'!#REF!</definedName>
    <definedName name="______________JUL34">'[4]FY03-04 Budget'!#REF!</definedName>
    <definedName name="______________JUN10">'[7]JUNE '!$E$10</definedName>
    <definedName name="______________JUN11">'[7]JUNE '!$E$11</definedName>
    <definedName name="______________JUN15">'[7]JUNE '!$E$15</definedName>
    <definedName name="______________JUN16">'[7]JUNE '!$E$16</definedName>
    <definedName name="______________JUN17">'[7]JUNE '!$E$17</definedName>
    <definedName name="______________JUN19">'[7]JUNE '!$E$19</definedName>
    <definedName name="______________JUN20">'[7]JUNE '!$E$20</definedName>
    <definedName name="______________JUN22">'[7]JUNE '!$E$22</definedName>
    <definedName name="______________JUN23">'[7]JUNE '!$E$23</definedName>
    <definedName name="______________JUN24">'[7]JUNE '!$E$24</definedName>
    <definedName name="______________JUN25">'[7]JUNE '!$E$25</definedName>
    <definedName name="______________JUN26">'[7]JUNE '!$E$26</definedName>
    <definedName name="______________JUN27">'[7]JUNE '!$E$27</definedName>
    <definedName name="______________JUN28">'[7]JUNE '!$E$28</definedName>
    <definedName name="______________JUN29">'[7]JUNE '!$E$29</definedName>
    <definedName name="______________JUN30">'[4]FY03-04 Budget'!#REF!</definedName>
    <definedName name="______________JUN36">'[4]FY03-04 Budget'!#REF!</definedName>
    <definedName name="______________JUN4">'[7]JUNE '!$E$4</definedName>
    <definedName name="______________JUN5">'[7]JUNE '!$E$5</definedName>
    <definedName name="______________JUN6">'[7]JUNE '!$E$6</definedName>
    <definedName name="______________JUN7">'[7]JUNE '!$E$7</definedName>
    <definedName name="______________JUN8">'[7]JUNE '!$E$8</definedName>
    <definedName name="______________JUN9">'[7]JUNE '!$E$9</definedName>
    <definedName name="______________MAY10">'[5]MAY '!$E$10</definedName>
    <definedName name="______________MAY11">'[5]MAY '!$E$11</definedName>
    <definedName name="______________MAY14">'[5]MAY '!$E$14</definedName>
    <definedName name="______________MAY15">'[5]MAY '!$E$15</definedName>
    <definedName name="______________MAY16">'[5]MAY '!$E$16</definedName>
    <definedName name="______________MAY17">'[5]MAY '!$E$17</definedName>
    <definedName name="______________MAY18">'[5]MAY '!$E$18</definedName>
    <definedName name="______________MAY19">'[5]MAY '!$E$19</definedName>
    <definedName name="______________MAY20">'[5]MAY '!$E$20</definedName>
    <definedName name="______________MAY21">'[5]MAY '!$E$21</definedName>
    <definedName name="______________MAY22">'[5]MAY '!$E$22</definedName>
    <definedName name="______________MAY23">'[5]MAY '!$E$23</definedName>
    <definedName name="______________MAY24">'[5]MAY '!$E$24</definedName>
    <definedName name="______________MAY25">'[5]MAY '!$E$25</definedName>
    <definedName name="______________MAY26">'[5]MAY '!$E$26</definedName>
    <definedName name="______________MAY27">'[5]MAY '!$E$27</definedName>
    <definedName name="______________MAY28">'[5]MAY '!$E$28</definedName>
    <definedName name="______________MAY30">'[5]MAY '!$E$30</definedName>
    <definedName name="______________MAY33">'[5]MAY '!$E$33</definedName>
    <definedName name="______________MAY34">'[5]MAY '!$E$34</definedName>
    <definedName name="______________MAY35">'[5]MAY '!$E$35</definedName>
    <definedName name="______________MAY4">'[5]MAY '!$E$4</definedName>
    <definedName name="______________MAY5">'[5]MAY '!$E$5</definedName>
    <definedName name="______________MAY6">'[5]MAY '!$E$6</definedName>
    <definedName name="______________MAY7">'[5]MAY '!$E$7</definedName>
    <definedName name="______________MAY8">'[5]MAY '!$E$8</definedName>
    <definedName name="______________MAY9">'[5]MAY '!$E$9</definedName>
    <definedName name="______________MBT2">'[8]Budget Pivot'!#REF!</definedName>
    <definedName name="______________R">#N/A</definedName>
    <definedName name="_____________C">#N/A</definedName>
    <definedName name="_____________j1">'[2]FY03-04 Budget'!#REF!</definedName>
    <definedName name="_____________JUL11">'[4]FY03-04 Budget'!#REF!</definedName>
    <definedName name="_____________JUL27">'[6]FY03-04 Budget'!$C$29</definedName>
    <definedName name="_____________JUL29">'[4]FY03-04 Budget'!#REF!</definedName>
    <definedName name="_____________JUL34">'[4]FY03-04 Budget'!#REF!</definedName>
    <definedName name="_____________JUN10">'[7]JUNE '!$E$10</definedName>
    <definedName name="_____________JUN11">'[7]JUNE '!$E$11</definedName>
    <definedName name="_____________JUN15">'[7]JUNE '!$E$15</definedName>
    <definedName name="_____________JUN16">'[7]JUNE '!$E$16</definedName>
    <definedName name="_____________JUN17">'[7]JUNE '!$E$17</definedName>
    <definedName name="_____________JUN19">'[7]JUNE '!$E$19</definedName>
    <definedName name="_____________JUN20">'[7]JUNE '!$E$20</definedName>
    <definedName name="_____________JUN22">'[7]JUNE '!$E$22</definedName>
    <definedName name="_____________JUN23">'[7]JUNE '!$E$23</definedName>
    <definedName name="_____________JUN24">'[7]JUNE '!$E$24</definedName>
    <definedName name="_____________JUN25">'[7]JUNE '!$E$25</definedName>
    <definedName name="_____________JUN26">'[7]JUNE '!$E$26</definedName>
    <definedName name="_____________JUN27">'[7]JUNE '!$E$27</definedName>
    <definedName name="_____________JUN28">'[7]JUNE '!$E$28</definedName>
    <definedName name="_____________JUN29">'[7]JUNE '!$E$29</definedName>
    <definedName name="_____________JUN30">'[4]FY03-04 Budget'!#REF!</definedName>
    <definedName name="_____________JUN36">'[4]FY03-04 Budget'!#REF!</definedName>
    <definedName name="_____________JUN4">'[7]JUNE '!$E$4</definedName>
    <definedName name="_____________JUN5">'[7]JUNE '!$E$5</definedName>
    <definedName name="_____________JUN6">'[7]JUNE '!$E$6</definedName>
    <definedName name="_____________JUN7">'[7]JUNE '!$E$7</definedName>
    <definedName name="_____________JUN8">'[7]JUNE '!$E$8</definedName>
    <definedName name="_____________JUN9">'[7]JUNE '!$E$9</definedName>
    <definedName name="_____________MAY10">'[5]MAY '!$E$10</definedName>
    <definedName name="_____________MAY11">'[5]MAY '!$E$11</definedName>
    <definedName name="_____________MAY14">'[5]MAY '!$E$14</definedName>
    <definedName name="_____________MAY15">'[5]MAY '!$E$15</definedName>
    <definedName name="_____________MAY16">'[5]MAY '!$E$16</definedName>
    <definedName name="_____________MAY17">'[5]MAY '!$E$17</definedName>
    <definedName name="_____________MAY18">'[5]MAY '!$E$18</definedName>
    <definedName name="_____________MAY19">'[5]MAY '!$E$19</definedName>
    <definedName name="_____________MAY20">'[5]MAY '!$E$20</definedName>
    <definedName name="_____________MAY21">'[5]MAY '!$E$21</definedName>
    <definedName name="_____________MAY22">'[5]MAY '!$E$22</definedName>
    <definedName name="_____________MAY23">'[5]MAY '!$E$23</definedName>
    <definedName name="_____________MAY24">'[5]MAY '!$E$24</definedName>
    <definedName name="_____________MAY25">'[5]MAY '!$E$25</definedName>
    <definedName name="_____________MAY26">'[5]MAY '!$E$26</definedName>
    <definedName name="_____________MAY27">'[5]MAY '!$E$27</definedName>
    <definedName name="_____________MAY28">'[5]MAY '!$E$28</definedName>
    <definedName name="_____________MAY30">'[5]MAY '!$E$30</definedName>
    <definedName name="_____________MAY33">'[5]MAY '!$E$33</definedName>
    <definedName name="_____________MAY34">'[5]MAY '!$E$34</definedName>
    <definedName name="_____________MAY35">'[5]MAY '!$E$35</definedName>
    <definedName name="_____________MAY4">'[5]MAY '!$E$4</definedName>
    <definedName name="_____________MAY5">'[5]MAY '!$E$5</definedName>
    <definedName name="_____________MAY6">'[5]MAY '!$E$6</definedName>
    <definedName name="_____________MAY7">'[5]MAY '!$E$7</definedName>
    <definedName name="_____________MAY8">'[5]MAY '!$E$8</definedName>
    <definedName name="_____________MAY9">'[5]MAY '!$E$9</definedName>
    <definedName name="_____________MBT2">'[8]Budget Pivot'!#REF!</definedName>
    <definedName name="_____________R">#N/A</definedName>
    <definedName name="____________C">#N/A</definedName>
    <definedName name="____________j1">'[2]FY03-04 Budget'!#REF!</definedName>
    <definedName name="____________JUL11">'[4]FY03-04 Budget'!#REF!</definedName>
    <definedName name="____________JUL27">'[6]FY03-04 Budget'!$C$29</definedName>
    <definedName name="____________JUL29">'[4]FY03-04 Budget'!#REF!</definedName>
    <definedName name="____________JUL34">'[4]FY03-04 Budget'!#REF!</definedName>
    <definedName name="____________JUN10">'[7]JUNE '!$E$10</definedName>
    <definedName name="____________JUN11">'[7]JUNE '!$E$11</definedName>
    <definedName name="____________JUN15">'[7]JUNE '!$E$15</definedName>
    <definedName name="____________JUN16">'[7]JUNE '!$E$16</definedName>
    <definedName name="____________JUN17">'[7]JUNE '!$E$17</definedName>
    <definedName name="____________JUN19">'[7]JUNE '!$E$19</definedName>
    <definedName name="____________JUN20">'[7]JUNE '!$E$20</definedName>
    <definedName name="____________JUN22">'[7]JUNE '!$E$22</definedName>
    <definedName name="____________JUN23">'[7]JUNE '!$E$23</definedName>
    <definedName name="____________JUN24">'[7]JUNE '!$E$24</definedName>
    <definedName name="____________JUN25">'[7]JUNE '!$E$25</definedName>
    <definedName name="____________JUN26">'[7]JUNE '!$E$26</definedName>
    <definedName name="____________JUN27">'[7]JUNE '!$E$27</definedName>
    <definedName name="____________JUN28">'[7]JUNE '!$E$28</definedName>
    <definedName name="____________JUN29">'[7]JUNE '!$E$29</definedName>
    <definedName name="____________JUN30">'[4]FY03-04 Budget'!#REF!</definedName>
    <definedName name="____________JUN36">'[4]FY03-04 Budget'!#REF!</definedName>
    <definedName name="____________JUN4">'[7]JUNE '!$E$4</definedName>
    <definedName name="____________JUN5">'[7]JUNE '!$E$5</definedName>
    <definedName name="____________JUN6">'[7]JUNE '!$E$6</definedName>
    <definedName name="____________JUN7">'[7]JUNE '!$E$7</definedName>
    <definedName name="____________JUN8">'[7]JUNE '!$E$8</definedName>
    <definedName name="____________JUN9">'[7]JUNE '!$E$9</definedName>
    <definedName name="____________MAY10">'[5]MAY '!$E$10</definedName>
    <definedName name="____________MAY11">'[5]MAY '!$E$11</definedName>
    <definedName name="____________MAY14">'[5]MAY '!$E$14</definedName>
    <definedName name="____________MAY15">'[5]MAY '!$E$15</definedName>
    <definedName name="____________MAY16">'[5]MAY '!$E$16</definedName>
    <definedName name="____________MAY17">'[5]MAY '!$E$17</definedName>
    <definedName name="____________MAY18">'[5]MAY '!$E$18</definedName>
    <definedName name="____________MAY19">'[5]MAY '!$E$19</definedName>
    <definedName name="____________MAY20">'[5]MAY '!$E$20</definedName>
    <definedName name="____________MAY21">'[5]MAY '!$E$21</definedName>
    <definedName name="____________MAY22">'[5]MAY '!$E$22</definedName>
    <definedName name="____________MAY23">'[5]MAY '!$E$23</definedName>
    <definedName name="____________MAY24">'[5]MAY '!$E$24</definedName>
    <definedName name="____________MAY25">'[5]MAY '!$E$25</definedName>
    <definedName name="____________MAY26">'[5]MAY '!$E$26</definedName>
    <definedName name="____________MAY27">'[5]MAY '!$E$27</definedName>
    <definedName name="____________MAY28">'[5]MAY '!$E$28</definedName>
    <definedName name="____________MAY30">'[5]MAY '!$E$30</definedName>
    <definedName name="____________MAY33">'[5]MAY '!$E$33</definedName>
    <definedName name="____________MAY34">'[5]MAY '!$E$34</definedName>
    <definedName name="____________MAY35">'[5]MAY '!$E$35</definedName>
    <definedName name="____________MAY4">'[5]MAY '!$E$4</definedName>
    <definedName name="____________MAY5">'[5]MAY '!$E$5</definedName>
    <definedName name="____________MAY6">'[5]MAY '!$E$6</definedName>
    <definedName name="____________MAY7">'[5]MAY '!$E$7</definedName>
    <definedName name="____________MAY8">'[5]MAY '!$E$8</definedName>
    <definedName name="____________MAY9">'[5]MAY '!$E$9</definedName>
    <definedName name="____________MBT2">'[8]Budget Pivot'!#REF!</definedName>
    <definedName name="____________R">#N/A</definedName>
    <definedName name="___________C">#N/A</definedName>
    <definedName name="___________j1">'[9]FY03-04 Budget'!#REF!</definedName>
    <definedName name="___________JUL11">'[9]FY03-04 Budget'!#REF!</definedName>
    <definedName name="___________JUL27">'[10]FY03-04 Budget'!$C$29</definedName>
    <definedName name="___________JUL29">'[9]FY03-04 Budget'!#REF!</definedName>
    <definedName name="___________JUL34">'[9]FY03-04 Budget'!#REF!</definedName>
    <definedName name="___________JUN10">'[11]JUNE '!$E$10</definedName>
    <definedName name="___________JUN11">'[11]JUNE '!$E$11</definedName>
    <definedName name="___________JUN15">'[11]JUNE '!$E$15</definedName>
    <definedName name="___________JUN16">'[11]JUNE '!$E$16</definedName>
    <definedName name="___________JUN17">'[11]JUNE '!$E$17</definedName>
    <definedName name="___________JUN19">'[11]JUNE '!$E$19</definedName>
    <definedName name="___________JUN20">'[11]JUNE '!$E$20</definedName>
    <definedName name="___________JUN22">'[11]JUNE '!$E$22</definedName>
    <definedName name="___________JUN23">'[11]JUNE '!$E$23</definedName>
    <definedName name="___________JUN24">'[11]JUNE '!$E$24</definedName>
    <definedName name="___________JUN25">'[11]JUNE '!$E$25</definedName>
    <definedName name="___________JUN26">'[11]JUNE '!$E$26</definedName>
    <definedName name="___________JUN27">'[11]JUNE '!$E$27</definedName>
    <definedName name="___________JUN28">'[11]JUNE '!$E$28</definedName>
    <definedName name="___________JUN29">'[11]JUNE '!$E$29</definedName>
    <definedName name="___________JUN30">'[9]FY03-04 Budget'!#REF!</definedName>
    <definedName name="___________JUN36">'[9]FY03-04 Budget'!#REF!</definedName>
    <definedName name="___________JUN4">'[11]JUNE '!$E$4</definedName>
    <definedName name="___________JUN5">'[11]JUNE '!$E$5</definedName>
    <definedName name="___________JUN6">'[11]JUNE '!$E$6</definedName>
    <definedName name="___________JUN7">'[11]JUNE '!$E$7</definedName>
    <definedName name="___________JUN8">'[11]JUNE '!$E$8</definedName>
    <definedName name="___________JUN9">'[11]JUNE '!$E$9</definedName>
    <definedName name="___________MAY10">'[12]MAY '!$E$10</definedName>
    <definedName name="___________MAY11">'[12]MAY '!$E$11</definedName>
    <definedName name="___________MAY14">'[12]MAY '!$E$14</definedName>
    <definedName name="___________MAY15">'[12]MAY '!$E$15</definedName>
    <definedName name="___________MAY16">'[12]MAY '!$E$16</definedName>
    <definedName name="___________MAY17">'[12]MAY '!$E$17</definedName>
    <definedName name="___________MAY18">'[12]MAY '!$E$18</definedName>
    <definedName name="___________MAY19">'[12]MAY '!$E$19</definedName>
    <definedName name="___________MAY20">'[12]MAY '!$E$20</definedName>
    <definedName name="___________MAY21">'[12]MAY '!$E$21</definedName>
    <definedName name="___________MAY22">'[12]MAY '!$E$22</definedName>
    <definedName name="___________MAY23">'[12]MAY '!$E$23</definedName>
    <definedName name="___________MAY24">'[12]MAY '!$E$24</definedName>
    <definedName name="___________MAY25">'[12]MAY '!$E$25</definedName>
    <definedName name="___________MAY26">'[12]MAY '!$E$26</definedName>
    <definedName name="___________MAY27">'[12]MAY '!$E$27</definedName>
    <definedName name="___________MAY28">'[12]MAY '!$E$28</definedName>
    <definedName name="___________MAY30">'[12]MAY '!$E$30</definedName>
    <definedName name="___________MAY33">'[12]MAY '!$E$33</definedName>
    <definedName name="___________MAY34">'[12]MAY '!$E$34</definedName>
    <definedName name="___________MAY35">'[12]MAY '!$E$35</definedName>
    <definedName name="___________MAY4">'[12]MAY '!$E$4</definedName>
    <definedName name="___________MAY5">'[12]MAY '!$E$5</definedName>
    <definedName name="___________MAY6">'[12]MAY '!$E$6</definedName>
    <definedName name="___________MAY7">'[12]MAY '!$E$7</definedName>
    <definedName name="___________MAY8">'[12]MAY '!$E$8</definedName>
    <definedName name="___________MAY9">'[12]MAY '!$E$9</definedName>
    <definedName name="___________MBT2">'[8]Budget Pivot'!#REF!</definedName>
    <definedName name="___________R">#N/A</definedName>
    <definedName name="__________C">#N/A</definedName>
    <definedName name="__________j1">'[9]FY03-04 Budget'!#REF!</definedName>
    <definedName name="__________JUL11">'[9]FY03-04 Budget'!#REF!</definedName>
    <definedName name="__________JUL27">'[10]FY03-04 Budget'!$C$29</definedName>
    <definedName name="__________JUL29">'[9]FY03-04 Budget'!#REF!</definedName>
    <definedName name="__________JUL34">'[9]FY03-04 Budget'!#REF!</definedName>
    <definedName name="__________JUN10">'[11]JUNE '!$E$10</definedName>
    <definedName name="__________JUN11">'[11]JUNE '!$E$11</definedName>
    <definedName name="__________JUN15">'[11]JUNE '!$E$15</definedName>
    <definedName name="__________JUN16">'[11]JUNE '!$E$16</definedName>
    <definedName name="__________JUN17">'[11]JUNE '!$E$17</definedName>
    <definedName name="__________JUN19">'[11]JUNE '!$E$19</definedName>
    <definedName name="__________JUN20">'[11]JUNE '!$E$20</definedName>
    <definedName name="__________JUN22">'[11]JUNE '!$E$22</definedName>
    <definedName name="__________JUN23">'[11]JUNE '!$E$23</definedName>
    <definedName name="__________JUN24">'[11]JUNE '!$E$24</definedName>
    <definedName name="__________JUN25">'[11]JUNE '!$E$25</definedName>
    <definedName name="__________JUN26">'[11]JUNE '!$E$26</definedName>
    <definedName name="__________JUN27">'[11]JUNE '!$E$27</definedName>
    <definedName name="__________JUN28">'[11]JUNE '!$E$28</definedName>
    <definedName name="__________JUN29">'[11]JUNE '!$E$29</definedName>
    <definedName name="__________JUN30">'[9]FY03-04 Budget'!#REF!</definedName>
    <definedName name="__________JUN36">'[9]FY03-04 Budget'!#REF!</definedName>
    <definedName name="__________JUN4">'[11]JUNE '!$E$4</definedName>
    <definedName name="__________JUN5">'[11]JUNE '!$E$5</definedName>
    <definedName name="__________JUN6">'[11]JUNE '!$E$6</definedName>
    <definedName name="__________JUN7">'[11]JUNE '!$E$7</definedName>
    <definedName name="__________JUN8">'[11]JUNE '!$E$8</definedName>
    <definedName name="__________JUN9">'[11]JUNE '!$E$9</definedName>
    <definedName name="__________MAY10">'[12]MAY '!$E$10</definedName>
    <definedName name="__________MAY11">'[12]MAY '!$E$11</definedName>
    <definedName name="__________MAY14">'[12]MAY '!$E$14</definedName>
    <definedName name="__________MAY15">'[12]MAY '!$E$15</definedName>
    <definedName name="__________MAY16">'[12]MAY '!$E$16</definedName>
    <definedName name="__________MAY17">'[12]MAY '!$E$17</definedName>
    <definedName name="__________MAY18">'[12]MAY '!$E$18</definedName>
    <definedName name="__________MAY19">'[12]MAY '!$E$19</definedName>
    <definedName name="__________MAY20">'[12]MAY '!$E$20</definedName>
    <definedName name="__________MAY21">'[12]MAY '!$E$21</definedName>
    <definedName name="__________MAY22">'[12]MAY '!$E$22</definedName>
    <definedName name="__________MAY23">'[12]MAY '!$E$23</definedName>
    <definedName name="__________MAY24">'[12]MAY '!$E$24</definedName>
    <definedName name="__________MAY25">'[12]MAY '!$E$25</definedName>
    <definedName name="__________MAY26">'[12]MAY '!$E$26</definedName>
    <definedName name="__________MAY27">'[12]MAY '!$E$27</definedName>
    <definedName name="__________MAY28">'[12]MAY '!$E$28</definedName>
    <definedName name="__________MAY30">'[12]MAY '!$E$30</definedName>
    <definedName name="__________MAY33">'[12]MAY '!$E$33</definedName>
    <definedName name="__________MAY34">'[12]MAY '!$E$34</definedName>
    <definedName name="__________MAY35">'[12]MAY '!$E$35</definedName>
    <definedName name="__________MAY4">'[12]MAY '!$E$4</definedName>
    <definedName name="__________MAY5">'[12]MAY '!$E$5</definedName>
    <definedName name="__________MAY6">'[12]MAY '!$E$6</definedName>
    <definedName name="__________MAY7">'[12]MAY '!$E$7</definedName>
    <definedName name="__________MAY8">'[12]MAY '!$E$8</definedName>
    <definedName name="__________MAY9">'[12]MAY '!$E$9</definedName>
    <definedName name="__________MBT2">'[8]Budget Pivot'!#REF!</definedName>
    <definedName name="__________R">#N/A</definedName>
    <definedName name="_________C">#N/A</definedName>
    <definedName name="_________j1">'[9]FY03-04 Budget'!#REF!</definedName>
    <definedName name="_________JUL11">'[9]FY03-04 Budget'!#REF!</definedName>
    <definedName name="_________JUL27">'[10]FY03-04 Budget'!$C$29</definedName>
    <definedName name="_________JUL29">'[9]FY03-04 Budget'!#REF!</definedName>
    <definedName name="_________JUL34">'[9]FY03-04 Budget'!#REF!</definedName>
    <definedName name="_________JUN10">'[11]JUNE '!$E$10</definedName>
    <definedName name="_________JUN11">'[11]JUNE '!$E$11</definedName>
    <definedName name="_________JUN15">'[11]JUNE '!$E$15</definedName>
    <definedName name="_________JUN16">'[11]JUNE '!$E$16</definedName>
    <definedName name="_________JUN17">'[11]JUNE '!$E$17</definedName>
    <definedName name="_________JUN19">'[11]JUNE '!$E$19</definedName>
    <definedName name="_________JUN20">'[11]JUNE '!$E$20</definedName>
    <definedName name="_________JUN22">'[11]JUNE '!$E$22</definedName>
    <definedName name="_________JUN23">'[11]JUNE '!$E$23</definedName>
    <definedName name="_________JUN24">'[11]JUNE '!$E$24</definedName>
    <definedName name="_________JUN25">'[11]JUNE '!$E$25</definedName>
    <definedName name="_________JUN26">'[11]JUNE '!$E$26</definedName>
    <definedName name="_________JUN27">'[11]JUNE '!$E$27</definedName>
    <definedName name="_________JUN28">'[11]JUNE '!$E$28</definedName>
    <definedName name="_________JUN29">'[11]JUNE '!$E$29</definedName>
    <definedName name="_________JUN30">'[9]FY03-04 Budget'!#REF!</definedName>
    <definedName name="_________JUN36">'[9]FY03-04 Budget'!#REF!</definedName>
    <definedName name="_________JUN4">'[11]JUNE '!$E$4</definedName>
    <definedName name="_________JUN5">'[11]JUNE '!$E$5</definedName>
    <definedName name="_________JUN6">'[11]JUNE '!$E$6</definedName>
    <definedName name="_________JUN7">'[11]JUNE '!$E$7</definedName>
    <definedName name="_________JUN8">'[11]JUNE '!$E$8</definedName>
    <definedName name="_________JUN9">'[11]JUNE '!$E$9</definedName>
    <definedName name="_________MAY10">'[12]MAY '!$E$10</definedName>
    <definedName name="_________MAY11">'[12]MAY '!$E$11</definedName>
    <definedName name="_________MAY14">'[12]MAY '!$E$14</definedName>
    <definedName name="_________MAY15">'[12]MAY '!$E$15</definedName>
    <definedName name="_________MAY16">'[12]MAY '!$E$16</definedName>
    <definedName name="_________MAY17">'[12]MAY '!$E$17</definedName>
    <definedName name="_________MAY18">'[12]MAY '!$E$18</definedName>
    <definedName name="_________MAY19">'[12]MAY '!$E$19</definedName>
    <definedName name="_________MAY20">'[12]MAY '!$E$20</definedName>
    <definedName name="_________MAY21">'[12]MAY '!$E$21</definedName>
    <definedName name="_________MAY22">'[12]MAY '!$E$22</definedName>
    <definedName name="_________MAY23">'[12]MAY '!$E$23</definedName>
    <definedName name="_________MAY24">'[12]MAY '!$E$24</definedName>
    <definedName name="_________MAY25">'[12]MAY '!$E$25</definedName>
    <definedName name="_________MAY26">'[12]MAY '!$E$26</definedName>
    <definedName name="_________MAY27">'[12]MAY '!$E$27</definedName>
    <definedName name="_________MAY28">'[12]MAY '!$E$28</definedName>
    <definedName name="_________MAY30">'[12]MAY '!$E$30</definedName>
    <definedName name="_________MAY33">'[12]MAY '!$E$33</definedName>
    <definedName name="_________MAY34">'[12]MAY '!$E$34</definedName>
    <definedName name="_________MAY35">'[12]MAY '!$E$35</definedName>
    <definedName name="_________MAY4">'[12]MAY '!$E$4</definedName>
    <definedName name="_________MAY5">'[12]MAY '!$E$5</definedName>
    <definedName name="_________MAY6">'[12]MAY '!$E$6</definedName>
    <definedName name="_________MAY7">'[12]MAY '!$E$7</definedName>
    <definedName name="_________MAY8">'[12]MAY '!$E$8</definedName>
    <definedName name="_________MAY9">'[12]MAY '!$E$9</definedName>
    <definedName name="_________MBT2">'[8]Budget Pivot'!#REF!</definedName>
    <definedName name="_________R">#N/A</definedName>
    <definedName name="________C">#N/A</definedName>
    <definedName name="________j1">'[9]FY03-04 Budget'!#REF!</definedName>
    <definedName name="________JUL11">'[9]FY03-04 Budget'!#REF!</definedName>
    <definedName name="________JUL27">'[10]FY03-04 Budget'!$C$29</definedName>
    <definedName name="________JUL29">'[9]FY03-04 Budget'!#REF!</definedName>
    <definedName name="________JUL34">'[9]FY03-04 Budget'!#REF!</definedName>
    <definedName name="________JUN10">'[11]JUNE '!$E$10</definedName>
    <definedName name="________JUN11">'[11]JUNE '!$E$11</definedName>
    <definedName name="________JUN15">'[11]JUNE '!$E$15</definedName>
    <definedName name="________JUN16">'[11]JUNE '!$E$16</definedName>
    <definedName name="________JUN17">'[11]JUNE '!$E$17</definedName>
    <definedName name="________JUN19">'[11]JUNE '!$E$19</definedName>
    <definedName name="________JUN20">'[11]JUNE '!$E$20</definedName>
    <definedName name="________JUN22">'[11]JUNE '!$E$22</definedName>
    <definedName name="________JUN23">'[11]JUNE '!$E$23</definedName>
    <definedName name="________JUN24">'[11]JUNE '!$E$24</definedName>
    <definedName name="________JUN25">'[11]JUNE '!$E$25</definedName>
    <definedName name="________JUN26">'[11]JUNE '!$E$26</definedName>
    <definedName name="________JUN27">'[11]JUNE '!$E$27</definedName>
    <definedName name="________JUN28">'[11]JUNE '!$E$28</definedName>
    <definedName name="________JUN29">'[11]JUNE '!$E$29</definedName>
    <definedName name="________JUN30">'[9]FY03-04 Budget'!#REF!</definedName>
    <definedName name="________JUN36">'[9]FY03-04 Budget'!#REF!</definedName>
    <definedName name="________JUN4">'[11]JUNE '!$E$4</definedName>
    <definedName name="________JUN5">'[11]JUNE '!$E$5</definedName>
    <definedName name="________JUN6">'[11]JUNE '!$E$6</definedName>
    <definedName name="________JUN7">'[11]JUNE '!$E$7</definedName>
    <definedName name="________JUN8">'[11]JUNE '!$E$8</definedName>
    <definedName name="________JUN9">'[11]JUNE '!$E$9</definedName>
    <definedName name="________MAY10">'[12]MAY '!$E$10</definedName>
    <definedName name="________MAY11">'[12]MAY '!$E$11</definedName>
    <definedName name="________MAY14">'[12]MAY '!$E$14</definedName>
    <definedName name="________MAY15">'[12]MAY '!$E$15</definedName>
    <definedName name="________MAY16">'[12]MAY '!$E$16</definedName>
    <definedName name="________MAY17">'[12]MAY '!$E$17</definedName>
    <definedName name="________MAY18">'[12]MAY '!$E$18</definedName>
    <definedName name="________MAY19">'[12]MAY '!$E$19</definedName>
    <definedName name="________MAY20">'[12]MAY '!$E$20</definedName>
    <definedName name="________MAY21">'[12]MAY '!$E$21</definedName>
    <definedName name="________MAY22">'[12]MAY '!$E$22</definedName>
    <definedName name="________MAY23">'[12]MAY '!$E$23</definedName>
    <definedName name="________MAY24">'[12]MAY '!$E$24</definedName>
    <definedName name="________MAY25">'[12]MAY '!$E$25</definedName>
    <definedName name="________MAY26">'[12]MAY '!$E$26</definedName>
    <definedName name="________MAY27">'[12]MAY '!$E$27</definedName>
    <definedName name="________MAY28">'[12]MAY '!$E$28</definedName>
    <definedName name="________MAY30">'[12]MAY '!$E$30</definedName>
    <definedName name="________MAY33">'[12]MAY '!$E$33</definedName>
    <definedName name="________MAY34">'[12]MAY '!$E$34</definedName>
    <definedName name="________MAY35">'[12]MAY '!$E$35</definedName>
    <definedName name="________MAY4">'[12]MAY '!$E$4</definedName>
    <definedName name="________MAY5">'[12]MAY '!$E$5</definedName>
    <definedName name="________MAY6">'[12]MAY '!$E$6</definedName>
    <definedName name="________MAY7">'[12]MAY '!$E$7</definedName>
    <definedName name="________MAY8">'[12]MAY '!$E$8</definedName>
    <definedName name="________MAY9">'[12]MAY '!$E$9</definedName>
    <definedName name="________MBT2">'[8]Budget Pivot'!#REF!</definedName>
    <definedName name="________R">#N/A</definedName>
    <definedName name="_______C">#N/A</definedName>
    <definedName name="_______j1">'[9]FY03-04 Budget'!#REF!</definedName>
    <definedName name="_______JUL11">'[13]FY03-04 Budget'!#REF!</definedName>
    <definedName name="_______JUL27">'[10]FY03-04 Budget'!$C$29</definedName>
    <definedName name="_______JUL29">'[13]FY03-04 Budget'!#REF!</definedName>
    <definedName name="_______JUL34">'[13]FY03-04 Budget'!#REF!</definedName>
    <definedName name="_______JUN10">'[11]JUNE '!$E$10</definedName>
    <definedName name="_______JUN11">'[11]JUNE '!$E$11</definedName>
    <definedName name="_______JUN15">'[11]JUNE '!$E$15</definedName>
    <definedName name="_______JUN16">'[11]JUNE '!$E$16</definedName>
    <definedName name="_______JUN17">'[11]JUNE '!$E$17</definedName>
    <definedName name="_______JUN19">'[11]JUNE '!$E$19</definedName>
    <definedName name="_______JUN20">'[11]JUNE '!$E$20</definedName>
    <definedName name="_______JUN22">'[11]JUNE '!$E$22</definedName>
    <definedName name="_______JUN23">'[11]JUNE '!$E$23</definedName>
    <definedName name="_______JUN24">'[11]JUNE '!$E$24</definedName>
    <definedName name="_______JUN25">'[11]JUNE '!$E$25</definedName>
    <definedName name="_______JUN26">'[11]JUNE '!$E$26</definedName>
    <definedName name="_______JUN27">'[11]JUNE '!$E$27</definedName>
    <definedName name="_______JUN28">'[11]JUNE '!$E$28</definedName>
    <definedName name="_______JUN29">'[11]JUNE '!$E$29</definedName>
    <definedName name="_______JUN30">'[13]FY03-04 Budget'!#REF!</definedName>
    <definedName name="_______JUN36">'[13]FY03-04 Budget'!#REF!</definedName>
    <definedName name="_______JUN4">'[11]JUNE '!$E$4</definedName>
    <definedName name="_______JUN5">'[11]JUNE '!$E$5</definedName>
    <definedName name="_______JUN6">'[11]JUNE '!$E$6</definedName>
    <definedName name="_______JUN7">'[11]JUNE '!$E$7</definedName>
    <definedName name="_______JUN8">'[11]JUNE '!$E$8</definedName>
    <definedName name="_______JUN9">'[11]JUNE '!$E$9</definedName>
    <definedName name="_______MAY10">'[14]MAY '!$E$10</definedName>
    <definedName name="_______MAY11">'[14]MAY '!$E$11</definedName>
    <definedName name="_______MAY14">'[14]MAY '!$E$14</definedName>
    <definedName name="_______MAY15">'[14]MAY '!$E$15</definedName>
    <definedName name="_______MAY16">'[14]MAY '!$E$16</definedName>
    <definedName name="_______MAY17">'[14]MAY '!$E$17</definedName>
    <definedName name="_______MAY18">'[14]MAY '!$E$18</definedName>
    <definedName name="_______MAY19">'[14]MAY '!$E$19</definedName>
    <definedName name="_______MAY20">'[14]MAY '!$E$20</definedName>
    <definedName name="_______MAY21">'[14]MAY '!$E$21</definedName>
    <definedName name="_______MAY22">'[14]MAY '!$E$22</definedName>
    <definedName name="_______MAY23">'[14]MAY '!$E$23</definedName>
    <definedName name="_______MAY24">'[14]MAY '!$E$24</definedName>
    <definedName name="_______MAY25">'[14]MAY '!$E$25</definedName>
    <definedName name="_______MAY26">'[14]MAY '!$E$26</definedName>
    <definedName name="_______MAY27">'[14]MAY '!$E$27</definedName>
    <definedName name="_______MAY28">'[14]MAY '!$E$28</definedName>
    <definedName name="_______MAY30">'[14]MAY '!$E$30</definedName>
    <definedName name="_______MAY33">'[14]MAY '!$E$33</definedName>
    <definedName name="_______MAY34">'[14]MAY '!$E$34</definedName>
    <definedName name="_______MAY35">'[14]MAY '!$E$35</definedName>
    <definedName name="_______MAY4">'[14]MAY '!$E$4</definedName>
    <definedName name="_______MAY5">'[14]MAY '!$E$5</definedName>
    <definedName name="_______MAY6">'[14]MAY '!$E$6</definedName>
    <definedName name="_______MAY7">'[14]MAY '!$E$7</definedName>
    <definedName name="_______MAY8">'[14]MAY '!$E$8</definedName>
    <definedName name="_______MAY9">'[14]MAY '!$E$9</definedName>
    <definedName name="_______MBT2">'[8]Budget Pivot'!#REF!</definedName>
    <definedName name="_______R">#N/A</definedName>
    <definedName name="______C">#N/A</definedName>
    <definedName name="______j1">'[9]FY03-04 Budget'!#REF!</definedName>
    <definedName name="______JUL11">'[4]FY03-04 Budget'!#REF!</definedName>
    <definedName name="______JUL112">'[13]FY03-04 Budget'!#REF!</definedName>
    <definedName name="______JUL27">'[10]FY03-04 Budget'!$C$29</definedName>
    <definedName name="______JUL29">'[4]FY03-04 Budget'!#REF!</definedName>
    <definedName name="______JUL34">'[4]FY03-04 Budget'!#REF!</definedName>
    <definedName name="______JUL342">'[13]FY03-04 Budget'!#REF!</definedName>
    <definedName name="______JULY292">'[13]FY03-04 Budget'!#REF!</definedName>
    <definedName name="______JUN10">'[11]JUNE '!$E$10</definedName>
    <definedName name="______JUN11">'[11]JUNE '!$E$11</definedName>
    <definedName name="______JUN15">'[11]JUNE '!$E$15</definedName>
    <definedName name="______JUN16">'[11]JUNE '!$E$16</definedName>
    <definedName name="______JUN17">'[11]JUNE '!$E$17</definedName>
    <definedName name="______JUN19">'[11]JUNE '!$E$19</definedName>
    <definedName name="______JUN20">'[11]JUNE '!$E$20</definedName>
    <definedName name="______JUN22">'[11]JUNE '!$E$22</definedName>
    <definedName name="______JUN23">'[11]JUNE '!$E$23</definedName>
    <definedName name="______JUN24">'[11]JUNE '!$E$24</definedName>
    <definedName name="______JUN25">'[11]JUNE '!$E$25</definedName>
    <definedName name="______JUN26">'[11]JUNE '!$E$26</definedName>
    <definedName name="______JUN27">'[11]JUNE '!$E$27</definedName>
    <definedName name="______JUN28">'[11]JUNE '!$E$28</definedName>
    <definedName name="______JUN29">'[11]JUNE '!$E$29</definedName>
    <definedName name="______JUN30">'[4]FY03-04 Budget'!#REF!</definedName>
    <definedName name="______JUN302">'[13]FY03-04 Budget'!#REF!</definedName>
    <definedName name="______JUN36">'[4]FY03-04 Budget'!#REF!</definedName>
    <definedName name="______JUN362">'[13]FY03-04 Budget'!#REF!</definedName>
    <definedName name="______JUN4">'[11]JUNE '!$E$4</definedName>
    <definedName name="______JUN5">'[11]JUNE '!$E$5</definedName>
    <definedName name="______JUN6">'[11]JUNE '!$E$6</definedName>
    <definedName name="______JUN7">'[11]JUNE '!$E$7</definedName>
    <definedName name="______JUN8">'[11]JUNE '!$E$8</definedName>
    <definedName name="______JUN9">'[11]JUNE '!$E$9</definedName>
    <definedName name="______MAY10">'[5]MAY '!$E$10</definedName>
    <definedName name="______MAY102">'[14]MAY '!$E$10</definedName>
    <definedName name="______MAY11">'[5]MAY '!$E$11</definedName>
    <definedName name="______MAY112">'[14]MAY '!$E$11</definedName>
    <definedName name="______MAY14">'[5]MAY '!$E$14</definedName>
    <definedName name="______MAY142">'[14]MAY '!$E$14</definedName>
    <definedName name="______MAY15">'[5]MAY '!$E$15</definedName>
    <definedName name="______MAY152">'[14]MAY '!$E$15</definedName>
    <definedName name="______MAY16">'[5]MAY '!$E$16</definedName>
    <definedName name="______MAY162">'[14]MAY '!$E$16</definedName>
    <definedName name="______MAY17">'[5]MAY '!$E$17</definedName>
    <definedName name="______MAY172">'[14]MAY '!$E$17</definedName>
    <definedName name="______MAY18">'[5]MAY '!$E$18</definedName>
    <definedName name="______May182">'[14]MAY '!$E$18</definedName>
    <definedName name="______MAY19">'[5]MAY '!$E$19</definedName>
    <definedName name="______May192">'[14]MAY '!$E$19</definedName>
    <definedName name="______MAY20">'[5]MAY '!$E$20</definedName>
    <definedName name="______MAY202">'[14]MAY '!$E$20</definedName>
    <definedName name="______MAY21">'[5]MAY '!$E$21</definedName>
    <definedName name="______MAY212">'[14]MAY '!$E$21</definedName>
    <definedName name="______MAY22">'[5]MAY '!$E$22</definedName>
    <definedName name="______MAY222">'[14]MAY '!$E$22</definedName>
    <definedName name="______MAY23">'[5]MAY '!$E$23</definedName>
    <definedName name="______May232">'[14]MAY '!$E$23</definedName>
    <definedName name="______MAY24">'[5]MAY '!$E$24</definedName>
    <definedName name="______MAY25">'[5]MAY '!$E$25</definedName>
    <definedName name="______MAY26">'[5]MAY '!$E$26</definedName>
    <definedName name="______MAY27">'[5]MAY '!$E$27</definedName>
    <definedName name="______MAY28">'[5]MAY '!$E$28</definedName>
    <definedName name="______MAY30">'[5]MAY '!$E$30</definedName>
    <definedName name="______MAY33">'[5]MAY '!$E$33</definedName>
    <definedName name="______MAY34">'[5]MAY '!$E$34</definedName>
    <definedName name="______MAY35">'[5]MAY '!$E$35</definedName>
    <definedName name="______MAY4">'[5]MAY '!$E$4</definedName>
    <definedName name="______MAY5">'[5]MAY '!$E$5</definedName>
    <definedName name="______MAY6">'[5]MAY '!$E$6</definedName>
    <definedName name="______MAY7">'[5]MAY '!$E$7</definedName>
    <definedName name="______MAY8">'[5]MAY '!$E$8</definedName>
    <definedName name="______MAY9">'[5]MAY '!$E$9</definedName>
    <definedName name="______MBT2">'[8]Budget Pivot'!#REF!</definedName>
    <definedName name="______R">#N/A</definedName>
    <definedName name="_____C">#N/A</definedName>
    <definedName name="_____j1">'[9]FY03-04 Budget'!#REF!</definedName>
    <definedName name="_____JUL11">'[13]FY03-04 Budget'!#REF!</definedName>
    <definedName name="_____JUL27">'[10]FY03-04 Budget'!$C$29</definedName>
    <definedName name="_____JUL29">'[13]FY03-04 Budget'!#REF!</definedName>
    <definedName name="_____JUL34">'[13]FY03-04 Budget'!#REF!</definedName>
    <definedName name="_____JUN10">'[11]JUNE '!$E$10</definedName>
    <definedName name="_____JUN11">'[11]JUNE '!$E$11</definedName>
    <definedName name="_____JUN15">'[11]JUNE '!$E$15</definedName>
    <definedName name="_____JUN16">'[11]JUNE '!$E$16</definedName>
    <definedName name="_____JUN17">'[11]JUNE '!$E$17</definedName>
    <definedName name="_____JUN19">'[11]JUNE '!$E$19</definedName>
    <definedName name="_____JUN20">'[11]JUNE '!$E$20</definedName>
    <definedName name="_____JUN22">'[11]JUNE '!$E$22</definedName>
    <definedName name="_____JUN23">'[11]JUNE '!$E$23</definedName>
    <definedName name="_____JUN24">'[11]JUNE '!$E$24</definedName>
    <definedName name="_____JUN25">'[11]JUNE '!$E$25</definedName>
    <definedName name="_____JUN26">'[11]JUNE '!$E$26</definedName>
    <definedName name="_____JUN27">'[11]JUNE '!$E$27</definedName>
    <definedName name="_____JUN28">'[11]JUNE '!$E$28</definedName>
    <definedName name="_____JUN29">'[11]JUNE '!$E$29</definedName>
    <definedName name="_____JUN30">'[13]FY03-04 Budget'!#REF!</definedName>
    <definedName name="_____JUN36">'[13]FY03-04 Budget'!#REF!</definedName>
    <definedName name="_____JUN4">'[11]JUNE '!$E$4</definedName>
    <definedName name="_____JUN5">'[11]JUNE '!$E$5</definedName>
    <definedName name="_____JUN6">'[11]JUNE '!$E$6</definedName>
    <definedName name="_____JUN7">'[11]JUNE '!$E$7</definedName>
    <definedName name="_____JUN8">'[11]JUNE '!$E$8</definedName>
    <definedName name="_____JUN9">'[11]JUNE '!$E$9</definedName>
    <definedName name="_____MAY10">'[14]MAY '!$E$10</definedName>
    <definedName name="_____MAY11">'[14]MAY '!$E$11</definedName>
    <definedName name="_____MAY14">'[14]MAY '!$E$14</definedName>
    <definedName name="_____MAY15">'[14]MAY '!$E$15</definedName>
    <definedName name="_____MAY16">'[14]MAY '!$E$16</definedName>
    <definedName name="_____MAY17">'[14]MAY '!$E$17</definedName>
    <definedName name="_____MAY18">'[14]MAY '!$E$18</definedName>
    <definedName name="_____MAY19">'[14]MAY '!$E$19</definedName>
    <definedName name="_____MAY20">'[14]MAY '!$E$20</definedName>
    <definedName name="_____MAY21">'[14]MAY '!$E$21</definedName>
    <definedName name="_____MAY22">'[14]MAY '!$E$22</definedName>
    <definedName name="_____MAY23">'[14]MAY '!$E$23</definedName>
    <definedName name="_____MAY24">'[14]MAY '!$E$24</definedName>
    <definedName name="_____MAY25">'[14]MAY '!$E$25</definedName>
    <definedName name="_____MAY26">'[14]MAY '!$E$26</definedName>
    <definedName name="_____MAY27">'[14]MAY '!$E$27</definedName>
    <definedName name="_____MAY28">'[14]MAY '!$E$28</definedName>
    <definedName name="_____MAY30">'[14]MAY '!$E$30</definedName>
    <definedName name="_____MAY33">'[14]MAY '!$E$33</definedName>
    <definedName name="_____MAY34">'[14]MAY '!$E$34</definedName>
    <definedName name="_____MAY35">'[14]MAY '!$E$35</definedName>
    <definedName name="_____MAY4">'[14]MAY '!$E$4</definedName>
    <definedName name="_____MAY5">'[14]MAY '!$E$5</definedName>
    <definedName name="_____MAY6">'[14]MAY '!$E$6</definedName>
    <definedName name="_____MAY7">'[14]MAY '!$E$7</definedName>
    <definedName name="_____MAY8">'[14]MAY '!$E$8</definedName>
    <definedName name="_____MAY9">'[14]MAY '!$E$9</definedName>
    <definedName name="_____MBT2">'[8]Budget Pivot'!#REF!</definedName>
    <definedName name="_____R">#N/A</definedName>
    <definedName name="____C">#N/A</definedName>
    <definedName name="____j1">'[13]FY03-04 Budget'!#REF!</definedName>
    <definedName name="____JUL11">'[13]FY03-04 Budget'!#REF!</definedName>
    <definedName name="____JUL27">'[10]FY03-04 Budget'!$C$29</definedName>
    <definedName name="____JUL29">'[13]FY03-04 Budget'!#REF!</definedName>
    <definedName name="____JUL34">'[13]FY03-04 Budget'!#REF!</definedName>
    <definedName name="____JUN10">'[11]JUNE '!$E$10</definedName>
    <definedName name="____JUN11">'[11]JUNE '!$E$11</definedName>
    <definedName name="____JUN15">'[11]JUNE '!$E$15</definedName>
    <definedName name="____JUN16">'[11]JUNE '!$E$16</definedName>
    <definedName name="____JUN17">'[11]JUNE '!$E$17</definedName>
    <definedName name="____JUN19">'[11]JUNE '!$E$19</definedName>
    <definedName name="____JUN20">'[11]JUNE '!$E$20</definedName>
    <definedName name="____JUN22">'[11]JUNE '!$E$22</definedName>
    <definedName name="____JUN23">'[11]JUNE '!$E$23</definedName>
    <definedName name="____JUN24">'[11]JUNE '!$E$24</definedName>
    <definedName name="____JUN25">'[11]JUNE '!$E$25</definedName>
    <definedName name="____JUN26">'[11]JUNE '!$E$26</definedName>
    <definedName name="____JUN27">'[11]JUNE '!$E$27</definedName>
    <definedName name="____JUN28">'[11]JUNE '!$E$28</definedName>
    <definedName name="____JUN29">'[11]JUNE '!$E$29</definedName>
    <definedName name="____JUN30">'[13]FY03-04 Budget'!#REF!</definedName>
    <definedName name="____JUN36">'[13]FY03-04 Budget'!#REF!</definedName>
    <definedName name="____JUN4">'[11]JUNE '!$E$4</definedName>
    <definedName name="____JUN5">'[11]JUNE '!$E$5</definedName>
    <definedName name="____JUN6">'[11]JUNE '!$E$6</definedName>
    <definedName name="____JUN7">'[11]JUNE '!$E$7</definedName>
    <definedName name="____JUN8">'[11]JUNE '!$E$8</definedName>
    <definedName name="____JUN9">'[11]JUNE '!$E$9</definedName>
    <definedName name="____MAY10">'[14]MAY '!$E$10</definedName>
    <definedName name="____MAY11">'[14]MAY '!$E$11</definedName>
    <definedName name="____MAY14">'[14]MAY '!$E$14</definedName>
    <definedName name="____MAY15">'[14]MAY '!$E$15</definedName>
    <definedName name="____MAY16">'[14]MAY '!$E$16</definedName>
    <definedName name="____MAY17">'[14]MAY '!$E$17</definedName>
    <definedName name="____MAY18">'[14]MAY '!$E$18</definedName>
    <definedName name="____MAY19">'[14]MAY '!$E$19</definedName>
    <definedName name="____MAY20">'[14]MAY '!$E$20</definedName>
    <definedName name="____MAY21">'[14]MAY '!$E$21</definedName>
    <definedName name="____MAY22">'[14]MAY '!$E$22</definedName>
    <definedName name="____MAY23">'[14]MAY '!$E$23</definedName>
    <definedName name="____MAY24">'[14]MAY '!$E$24</definedName>
    <definedName name="____MAY25">'[14]MAY '!$E$25</definedName>
    <definedName name="____MAY26">'[14]MAY '!$E$26</definedName>
    <definedName name="____MAY27">'[14]MAY '!$E$27</definedName>
    <definedName name="____MAY28">'[14]MAY '!$E$28</definedName>
    <definedName name="____MAY30">'[14]MAY '!$E$30</definedName>
    <definedName name="____MAY33">'[14]MAY '!$E$33</definedName>
    <definedName name="____MAY34">'[14]MAY '!$E$34</definedName>
    <definedName name="____MAY35">'[14]MAY '!$E$35</definedName>
    <definedName name="____MAY4">'[14]MAY '!$E$4</definedName>
    <definedName name="____MAY5">'[14]MAY '!$E$5</definedName>
    <definedName name="____MAY6">'[14]MAY '!$E$6</definedName>
    <definedName name="____MAY7">'[14]MAY '!$E$7</definedName>
    <definedName name="____MAY8">'[14]MAY '!$E$8</definedName>
    <definedName name="____MAY9">'[14]MAY '!$E$9</definedName>
    <definedName name="____MBT2">'[8]Budget Pivot'!#REF!</definedName>
    <definedName name="____R">#N/A</definedName>
    <definedName name="___C">#N/A</definedName>
    <definedName name="___j1">'[13]FY03-04 Budget'!#REF!</definedName>
    <definedName name="___JUL11">'[2]FY03-04 Budget'!#REF!</definedName>
    <definedName name="___JUL27">'[10]FY03-04 Budget'!$C$29</definedName>
    <definedName name="___JUL29">'[2]FY03-04 Budget'!#REF!</definedName>
    <definedName name="___JUL34">'[2]FY03-04 Budget'!#REF!</definedName>
    <definedName name="___JUN10">'[11]JUNE '!$E$10</definedName>
    <definedName name="___JUN11">'[11]JUNE '!$E$11</definedName>
    <definedName name="___JUN15">'[11]JUNE '!$E$15</definedName>
    <definedName name="___JUN16">'[11]JUNE '!$E$16</definedName>
    <definedName name="___JUN17">'[11]JUNE '!$E$17</definedName>
    <definedName name="___JUN19">'[11]JUNE '!$E$19</definedName>
    <definedName name="___JUN20">'[11]JUNE '!$E$20</definedName>
    <definedName name="___JUN22">'[11]JUNE '!$E$22</definedName>
    <definedName name="___JUN23">'[11]JUNE '!$E$23</definedName>
    <definedName name="___JUN24">'[11]JUNE '!$E$24</definedName>
    <definedName name="___JUN25">'[11]JUNE '!$E$25</definedName>
    <definedName name="___JUN26">'[11]JUNE '!$E$26</definedName>
    <definedName name="___JUN27">'[11]JUNE '!$E$27</definedName>
    <definedName name="___JUN28">'[11]JUNE '!$E$28</definedName>
    <definedName name="___JUN29">'[11]JUNE '!$E$29</definedName>
    <definedName name="___JUN30">'[2]FY03-04 Budget'!#REF!</definedName>
    <definedName name="___JUN36">'[2]FY03-04 Budget'!#REF!</definedName>
    <definedName name="___JUN4">'[11]JUNE '!$E$4</definedName>
    <definedName name="___JUN5">'[11]JUNE '!$E$5</definedName>
    <definedName name="___JUN6">'[11]JUNE '!$E$6</definedName>
    <definedName name="___JUN7">'[11]JUNE '!$E$7</definedName>
    <definedName name="___JUN8">'[11]JUNE '!$E$8</definedName>
    <definedName name="___JUN9">'[11]JUNE '!$E$9</definedName>
    <definedName name="___MAY10">'[3]MAY '!$E$10</definedName>
    <definedName name="___MAY11">'[3]MAY '!$E$11</definedName>
    <definedName name="___MAY14">'[3]MAY '!$E$14</definedName>
    <definedName name="___MAY15">'[3]MAY '!$E$15</definedName>
    <definedName name="___MAY16">'[3]MAY '!$E$16</definedName>
    <definedName name="___MAY17">'[3]MAY '!$E$17</definedName>
    <definedName name="___MAY18">'[3]MAY '!$E$18</definedName>
    <definedName name="___MAY19">'[3]MAY '!$E$19</definedName>
    <definedName name="___MAY20">'[3]MAY '!$E$20</definedName>
    <definedName name="___MAY21">'[3]MAY '!$E$21</definedName>
    <definedName name="___MAY22">'[3]MAY '!$E$22</definedName>
    <definedName name="___MAY23">'[3]MAY '!$E$23</definedName>
    <definedName name="___MAY24">'[3]MAY '!$E$24</definedName>
    <definedName name="___MAY25">'[3]MAY '!$E$25</definedName>
    <definedName name="___MAY26">'[3]MAY '!$E$26</definedName>
    <definedName name="___MAY27">'[3]MAY '!$E$27</definedName>
    <definedName name="___MAY28">'[3]MAY '!$E$28</definedName>
    <definedName name="___MAY30">'[3]MAY '!$E$30</definedName>
    <definedName name="___MAY33">'[3]MAY '!$E$33</definedName>
    <definedName name="___MAY34">'[3]MAY '!$E$34</definedName>
    <definedName name="___MAY35">'[3]MAY '!$E$35</definedName>
    <definedName name="___MAY4">'[3]MAY '!$E$4</definedName>
    <definedName name="___MAY5">'[3]MAY '!$E$5</definedName>
    <definedName name="___MAY6">'[3]MAY '!$E$6</definedName>
    <definedName name="___MAY7">'[3]MAY '!$E$7</definedName>
    <definedName name="___MAY8">'[3]MAY '!$E$8</definedName>
    <definedName name="___MAY9">'[3]MAY '!$E$9</definedName>
    <definedName name="___MBT2">'[8]Budget Pivot'!#REF!</definedName>
    <definedName name="___R">#N/A</definedName>
    <definedName name="__C">#N/A</definedName>
    <definedName name="__IntlFixup" hidden="1">TRUE</definedName>
    <definedName name="__j1">'[2]FY03-04 Budget'!#REF!</definedName>
    <definedName name="__JUL11">'[13]FY03-04 Budget'!#REF!</definedName>
    <definedName name="__JUL27">'[15]FY03-04 Budget'!$C$29</definedName>
    <definedName name="__JUL29">'[13]FY03-04 Budget'!#REF!</definedName>
    <definedName name="__JUL34">'[13]FY03-04 Budget'!#REF!</definedName>
    <definedName name="__JUN10">'[16]JUNE '!$E$10</definedName>
    <definedName name="__JUN11">'[16]JUNE '!$E$11</definedName>
    <definedName name="__JUN15">'[16]JUNE '!$E$15</definedName>
    <definedName name="__JUN16">'[16]JUNE '!$E$16</definedName>
    <definedName name="__JUN17">'[16]JUNE '!$E$17</definedName>
    <definedName name="__JUN19">'[16]JUNE '!$E$19</definedName>
    <definedName name="__JUN20">'[16]JUNE '!$E$20</definedName>
    <definedName name="__JUN22">'[16]JUNE '!$E$22</definedName>
    <definedName name="__JUN23">'[16]JUNE '!$E$23</definedName>
    <definedName name="__JUN24">'[16]JUNE '!$E$24</definedName>
    <definedName name="__JUN25">'[16]JUNE '!$E$25</definedName>
    <definedName name="__JUN26">'[16]JUNE '!$E$26</definedName>
    <definedName name="__JUN27">'[16]JUNE '!$E$27</definedName>
    <definedName name="__JUN28">'[16]JUNE '!$E$28</definedName>
    <definedName name="__JUN29">'[16]JUNE '!$E$29</definedName>
    <definedName name="__JUN30">'[13]FY03-04 Budget'!#REF!</definedName>
    <definedName name="__JUN36">'[13]FY03-04 Budget'!#REF!</definedName>
    <definedName name="__JUN4">'[16]JUNE '!$E$4</definedName>
    <definedName name="__JUN5">'[16]JUNE '!$E$5</definedName>
    <definedName name="__JUN6">'[16]JUNE '!$E$6</definedName>
    <definedName name="__JUN7">'[16]JUNE '!$E$7</definedName>
    <definedName name="__JUN8">'[16]JUNE '!$E$8</definedName>
    <definedName name="__JUN9">'[16]JUNE '!$E$9</definedName>
    <definedName name="__MAY10">'[14]MAY '!$E$10</definedName>
    <definedName name="__MAY11">'[14]MAY '!$E$11</definedName>
    <definedName name="__MAY14">'[14]MAY '!$E$14</definedName>
    <definedName name="__MAY15">'[14]MAY '!$E$15</definedName>
    <definedName name="__MAY16">'[14]MAY '!$E$16</definedName>
    <definedName name="__MAY17">'[14]MAY '!$E$17</definedName>
    <definedName name="__MAY18">'[14]MAY '!$E$18</definedName>
    <definedName name="__MAY19">'[14]MAY '!$E$19</definedName>
    <definedName name="__MAY20">'[14]MAY '!$E$20</definedName>
    <definedName name="__MAY21">'[14]MAY '!$E$21</definedName>
    <definedName name="__MAY22">'[14]MAY '!$E$22</definedName>
    <definedName name="__MAY23">'[14]MAY '!$E$23</definedName>
    <definedName name="__MAY24">'[14]MAY '!$E$24</definedName>
    <definedName name="__MAY25">'[14]MAY '!$E$25</definedName>
    <definedName name="__MAY26">'[14]MAY '!$E$26</definedName>
    <definedName name="__MAY27">'[14]MAY '!$E$27</definedName>
    <definedName name="__MAY28">'[14]MAY '!$E$28</definedName>
    <definedName name="__MAY30">'[14]MAY '!$E$30</definedName>
    <definedName name="__MAY33">'[14]MAY '!$E$33</definedName>
    <definedName name="__MAY34">'[14]MAY '!$E$34</definedName>
    <definedName name="__MAY35">'[14]MAY '!$E$35</definedName>
    <definedName name="__MAY4">'[14]MAY '!$E$4</definedName>
    <definedName name="__MAY5">'[14]MAY '!$E$5</definedName>
    <definedName name="__MAY6">'[14]MAY '!$E$6</definedName>
    <definedName name="__MAY7">'[14]MAY '!$E$7</definedName>
    <definedName name="__MAY8">'[14]MAY '!$E$8</definedName>
    <definedName name="__MAY9">'[14]MAY '!$E$9</definedName>
    <definedName name="__MBT2">'[8]Budget Pivot'!#REF!</definedName>
    <definedName name="__R">#N/A</definedName>
    <definedName name="_185WEST">#REF!</definedName>
    <definedName name="_C">#N/A</definedName>
    <definedName name="_Dist_Values" hidden="1">'[17]Summary - Total'!#REF!</definedName>
    <definedName name="_j1">'[2]FY03-04 Budget'!#REF!</definedName>
    <definedName name="_JUL11">'[13]FY03-04 Budget'!#REF!</definedName>
    <definedName name="_JUL27">'[15]FY03-04 Budget'!$C$29</definedName>
    <definedName name="_JUL29">'[13]FY03-04 Budget'!#REF!</definedName>
    <definedName name="_JUL34">'[13]FY03-04 Budget'!#REF!</definedName>
    <definedName name="_JUN10">'[16]JUNE '!$E$10</definedName>
    <definedName name="_JUN11">'[16]JUNE '!$E$11</definedName>
    <definedName name="_JUN15">'[16]JUNE '!$E$15</definedName>
    <definedName name="_JUN16">'[16]JUNE '!$E$16</definedName>
    <definedName name="_JUN17">'[16]JUNE '!$E$17</definedName>
    <definedName name="_JUN19">'[16]JUNE '!$E$19</definedName>
    <definedName name="_JUN20">'[16]JUNE '!$E$20</definedName>
    <definedName name="_JUN22">'[16]JUNE '!$E$22</definedName>
    <definedName name="_JUN23">'[16]JUNE '!$E$23</definedName>
    <definedName name="_JUN24">'[16]JUNE '!$E$24</definedName>
    <definedName name="_JUN25">'[16]JUNE '!$E$25</definedName>
    <definedName name="_JUN26">'[16]JUNE '!$E$26</definedName>
    <definedName name="_JUN27">'[16]JUNE '!$E$27</definedName>
    <definedName name="_JUN28">'[16]JUNE '!$E$28</definedName>
    <definedName name="_JUN29">'[16]JUNE '!$E$29</definedName>
    <definedName name="_JUN30">'[13]FY03-04 Budget'!#REF!</definedName>
    <definedName name="_JUN36">'[13]FY03-04 Budget'!#REF!</definedName>
    <definedName name="_JUN4">'[16]JUNE '!$E$4</definedName>
    <definedName name="_JUN5">'[16]JUNE '!$E$5</definedName>
    <definedName name="_JUN6">'[16]JUNE '!$E$6</definedName>
    <definedName name="_JUN7">'[16]JUNE '!$E$7</definedName>
    <definedName name="_JUN8">'[16]JUNE '!$E$8</definedName>
    <definedName name="_JUN9">'[16]JUNE '!$E$9</definedName>
    <definedName name="_Key1" hidden="1">#REF!</definedName>
    <definedName name="_MAY10">'[14]MAY '!$E$10</definedName>
    <definedName name="_MAY11">'[14]MAY '!$E$11</definedName>
    <definedName name="_MAY14">'[14]MAY '!$E$14</definedName>
    <definedName name="_MAY15">'[14]MAY '!$E$15</definedName>
    <definedName name="_MAY16">'[14]MAY '!$E$16</definedName>
    <definedName name="_MAY17">'[14]MAY '!$E$17</definedName>
    <definedName name="_MAY18">'[14]MAY '!$E$18</definedName>
    <definedName name="_MAY19">'[14]MAY '!$E$19</definedName>
    <definedName name="_MAY20">'[14]MAY '!$E$20</definedName>
    <definedName name="_MAY21">'[14]MAY '!$E$21</definedName>
    <definedName name="_MAY22">'[14]MAY '!$E$22</definedName>
    <definedName name="_MAY23">'[14]MAY '!$E$23</definedName>
    <definedName name="_MAY24">'[14]MAY '!$E$24</definedName>
    <definedName name="_MAY25">'[14]MAY '!$E$25</definedName>
    <definedName name="_MAY26">'[14]MAY '!$E$26</definedName>
    <definedName name="_MAY27">'[14]MAY '!$E$27</definedName>
    <definedName name="_MAY28">'[14]MAY '!$E$28</definedName>
    <definedName name="_MAY30">'[14]MAY '!$E$30</definedName>
    <definedName name="_MAY33">'[14]MAY '!$E$33</definedName>
    <definedName name="_MAY34">'[14]MAY '!$E$34</definedName>
    <definedName name="_MAY35">'[14]MAY '!$E$35</definedName>
    <definedName name="_MAY4">'[14]MAY '!$E$4</definedName>
    <definedName name="_MAY5">'[14]MAY '!$E$5</definedName>
    <definedName name="_MAY6">'[14]MAY '!$E$6</definedName>
    <definedName name="_MAY7">'[14]MAY '!$E$7</definedName>
    <definedName name="_MAY8">'[14]MAY '!$E$8</definedName>
    <definedName name="_MAY9">'[14]MAY '!$E$9</definedName>
    <definedName name="_MBT2">'[8]Budget Pivot'!#REF!</definedName>
    <definedName name="_NST01">#N/A</definedName>
    <definedName name="_Order1" localSheetId="4" hidden="1">255</definedName>
    <definedName name="_Order1" localSheetId="5" hidden="1">255</definedName>
    <definedName name="_Order1" hidden="1">0</definedName>
    <definedName name="_Order2" hidden="1">0</definedName>
    <definedName name="_R">#N/A</definedName>
    <definedName name="_Sort" hidden="1">#REF!</definedName>
    <definedName name="A">#N/A</definedName>
    <definedName name="AA" hidden="1">{"'Revised 103198'!$A$1:$K$55"}</definedName>
    <definedName name="aaa" localSheetId="4" hidden="1">{"'Sheet1'!$A$1738:$L$2139"}</definedName>
    <definedName name="aaa" localSheetId="5" hidden="1">{"'Sheet1'!$A$1738:$L$2139"}</definedName>
    <definedName name="aaa" hidden="1">{"'Sheet1'!$A$1738:$L$2139"}</definedName>
    <definedName name="AB" hidden="1">{"'Revised 103198'!$A$1:$K$55"}</definedName>
    <definedName name="acasdsadasd" localSheetId="4" hidden="1">{#N/A,#N/A,TRUE,"Graphs";#N/A,#N/A,TRUE,"TOTAL";#N/A,#N/A,TRUE,"Routes";#N/A,#N/A,TRUE,"DARS";#N/A,#N/A,TRUE,"Rt.1";#N/A,#N/A,TRUE,"Rt.2";#N/A,#N/A,TRUE,"Rte 3";#N/A,#N/A,TRUE,"Rte4";#N/A,#N/A,TRUE,"Rte4A";#N/A,#N/A,TRUE,"Rte5";#N/A,#N/A,TRUE,"Rte6";#N/A,#N/A,TRUE,"Rte7";#N/A,#N/A,TRUE,"Clk DAR";#N/A,#N/A,TRUE,"Lkpt DAR";#N/A,#N/A,TRUE,"RCRC"}</definedName>
    <definedName name="acasdsadasd" localSheetId="5" hidden="1">{#N/A,#N/A,TRUE,"Graphs";#N/A,#N/A,TRUE,"TOTAL";#N/A,#N/A,TRUE,"Routes";#N/A,#N/A,TRUE,"DARS";#N/A,#N/A,TRUE,"Rt.1";#N/A,#N/A,TRUE,"Rt.2";#N/A,#N/A,TRUE,"Rte 3";#N/A,#N/A,TRUE,"Rte4";#N/A,#N/A,TRUE,"Rte4A";#N/A,#N/A,TRUE,"Rte5";#N/A,#N/A,TRUE,"Rte6";#N/A,#N/A,TRUE,"Rte7";#N/A,#N/A,TRUE,"Clk DAR";#N/A,#N/A,TRUE,"Lkpt DAR";#N/A,#N/A,TRUE,"RCRC"}</definedName>
    <definedName name="acasdsadasd" hidden="1">{#N/A,#N/A,TRUE,"Graphs";#N/A,#N/A,TRUE,"TOTAL";#N/A,#N/A,TRUE,"Routes";#N/A,#N/A,TRUE,"DARS";#N/A,#N/A,TRUE,"Rt.1";#N/A,#N/A,TRUE,"Rt.2";#N/A,#N/A,TRUE,"Rte 3";#N/A,#N/A,TRUE,"Rte4";#N/A,#N/A,TRUE,"Rte4A";#N/A,#N/A,TRUE,"Rte5";#N/A,#N/A,TRUE,"Rte6";#N/A,#N/A,TRUE,"Rte7";#N/A,#N/A,TRUE,"Clk DAR";#N/A,#N/A,TRUE,"Lkpt DAR";#N/A,#N/A,TRUE,"RCRC"}</definedName>
    <definedName name="Access_Button" hidden="1">"Loan_Front_End_Input_List"</definedName>
    <definedName name="AccessDatabase" hidden="1">"C:\My Documents\DAVE\MODELS\Cash at Risk\Loan Front End.mdb"</definedName>
    <definedName name="Amador_Demographics_2025">#REF!</definedName>
    <definedName name="AREA">#N/A</definedName>
    <definedName name="B">#N/A</definedName>
    <definedName name="button_area_1">#REF!</definedName>
    <definedName name="celltips_area">#REF!</definedName>
    <definedName name="CODE">#N/A</definedName>
    <definedName name="Customer_List">#REF!</definedName>
    <definedName name="D">#N/A</definedName>
    <definedName name="_xlnm.Database" localSheetId="4">#REF!</definedName>
    <definedName name="_xlnm.Database" localSheetId="5">#REF!</definedName>
    <definedName name="_xlnm.Database">#REF!</definedName>
    <definedName name="ddd" localSheetId="4" hidden="1">{#N/A,#N/A,FALSE,"CAPREIT"}</definedName>
    <definedName name="ddd" localSheetId="5" hidden="1">{#N/A,#N/A,FALSE,"CAPREIT"}</definedName>
    <definedName name="ddd" hidden="1">{#N/A,#N/A,FALSE,"CAPREIT"}</definedName>
    <definedName name="dddddd" localSheetId="4" hidden="1">{#N/A,#N/A,FALSE,"CAPREIT"}</definedName>
    <definedName name="dddddd" localSheetId="5" hidden="1">{#N/A,#N/A,FALSE,"CAPREIT"}</definedName>
    <definedName name="dddddd" hidden="1">{#N/A,#N/A,FALSE,"CAPREIT"}</definedName>
    <definedName name="ddddddd" localSheetId="4" hidden="1">{#N/A,#N/A,FALSE,"CAPREIT"}</definedName>
    <definedName name="ddddddd" localSheetId="5" hidden="1">{#N/A,#N/A,FALSE,"CAPREIT"}</definedName>
    <definedName name="ddddddd" hidden="1">{#N/A,#N/A,FALSE,"CAPREIT"}</definedName>
    <definedName name="delete" localSheetId="4">#N/A</definedName>
    <definedName name="delete" localSheetId="5">#N/A</definedName>
    <definedName name="delete">'[18]Agency Survey Results'!delete</definedName>
    <definedName name="dflt1">[19]Sheet1!$E$22</definedName>
    <definedName name="dflt2">[19]Sheet1!$E$23</definedName>
    <definedName name="dflt3">[19]Sheet1!$D$24</definedName>
    <definedName name="dflt4">[19]Sheet1!$E$26</definedName>
    <definedName name="dflt5">[19]Sheet1!$E$27</definedName>
    <definedName name="dflt6">[19]Sheet1!$D$28</definedName>
    <definedName name="dflt7">[19]Sheet1!$G$27</definedName>
    <definedName name="Douglas_County">#REF!</definedName>
    <definedName name="Drivers">[20]Reference!#REF!</definedName>
    <definedName name="E">#N/A</definedName>
    <definedName name="Employees">[20]Reference!$B:$B</definedName>
    <definedName name="F">#N/A</definedName>
    <definedName name="fdfdfd" localSheetId="4" hidden="1">{#N/A,#N/A,FALSE,"CAPREIT"}</definedName>
    <definedName name="fdfdfd" localSheetId="5" hidden="1">{#N/A,#N/A,FALSE,"CAPREIT"}</definedName>
    <definedName name="fdfdfd" hidden="1">{#N/A,#N/A,FALSE,"CAPREIT"}</definedName>
    <definedName name="fdfdfdf" localSheetId="4" hidden="1">{#N/A,#N/A,FALSE,"CAPREIT"}</definedName>
    <definedName name="fdfdfdf" localSheetId="5" hidden="1">{#N/A,#N/A,FALSE,"CAPREIT"}</definedName>
    <definedName name="fdfdfdf" hidden="1">{#N/A,#N/A,FALSE,"CAPREIT"}</definedName>
    <definedName name="FINAL">#N/A</definedName>
    <definedName name="G">#N/A</definedName>
    <definedName name="H">#N/A</definedName>
    <definedName name="Hourly_Cost" localSheetId="4">#REF!</definedName>
    <definedName name="Hourly_Cost" localSheetId="5">#REF!</definedName>
    <definedName name="Hourly_Cost">#REF!</definedName>
    <definedName name="HTML_CodePage" hidden="1">1252</definedName>
    <definedName name="HTML_Control" localSheetId="4" hidden="1">{"'Sheet1'!$A$1738:$L$2139"}</definedName>
    <definedName name="HTML_Control" localSheetId="5" hidden="1">{"'Sheet1'!$A$1738:$L$2139"}</definedName>
    <definedName name="HTML_Control" hidden="1">{"'Final'!$A$1:$K$1"}</definedName>
    <definedName name="HTML_Description" hidden="1">""</definedName>
    <definedName name="HTML_Email" hidden="1">""</definedName>
    <definedName name="HTML_Header" localSheetId="4" hidden="1">""</definedName>
    <definedName name="HTML_Header" localSheetId="5" hidden="1">""</definedName>
    <definedName name="HTML_Header" hidden="1">"Final"</definedName>
    <definedName name="HTML_LastUpdate" localSheetId="4" hidden="1">"5/9/02"</definedName>
    <definedName name="HTML_LastUpdate" localSheetId="5" hidden="1">"5/9/02"</definedName>
    <definedName name="HTML_LastUpdate" hidden="1">"8/21/00"</definedName>
    <definedName name="HTML_LineAfter" hidden="1">FALSE</definedName>
    <definedName name="HTML_LineBefore" hidden="1">FALSE</definedName>
    <definedName name="HTML_Name" localSheetId="4" hidden="1">"javis"</definedName>
    <definedName name="HTML_Name" localSheetId="5" hidden="1">"javis"</definedName>
    <definedName name="HTML_Name" hidden="1">"nosekg"</definedName>
    <definedName name="HTML_OBDlg2" hidden="1">TRUE</definedName>
    <definedName name="HTML_OBDlg4" hidden="1">TRUE</definedName>
    <definedName name="HTML_OS" hidden="1">0</definedName>
    <definedName name="HTML_PathFile" localSheetId="4" hidden="1">"C:\Web Internet\rt022-33.htm"</definedName>
    <definedName name="HTML_PathFile" localSheetId="5" hidden="1">"C:\Web Internet\rt022-33.htm"</definedName>
    <definedName name="HTML_PathFile" hidden="1">"A:\table12 Html.htm"</definedName>
    <definedName name="HTML_Title" localSheetId="4" hidden="1">""</definedName>
    <definedName name="HTML_Title" localSheetId="5" hidden="1">""</definedName>
    <definedName name="HTML_Title" hidden="1">"Table 12"</definedName>
    <definedName name="HTML1_1" hidden="1">"'[96RT001.xls]96RT001'!$A$1:$Q$1529"</definedName>
    <definedName name="HTML1_10" hidden="1">""</definedName>
    <definedName name="HTML1_11" hidden="1">1</definedName>
    <definedName name="HTML1_12" hidden="1">"C:\working\96rt001.htm"</definedName>
    <definedName name="HTML1_2" hidden="1">1</definedName>
    <definedName name="HTML1_3" hidden="1">"96RT001"</definedName>
    <definedName name="HTML1_4" hidden="1">"96RT001"</definedName>
    <definedName name="HTML1_5" hidden="1">""</definedName>
    <definedName name="HTML1_6" hidden="1">-4146</definedName>
    <definedName name="HTML1_7" hidden="1">-4146</definedName>
    <definedName name="HTML1_8" hidden="1">"8/4/97"</definedName>
    <definedName name="HTML1_9" hidden="1">"Caltrans, Traffic Ops"</definedName>
    <definedName name="HTMLCount" hidden="1">1</definedName>
    <definedName name="I">#N/A</definedName>
    <definedName name="ID">#N/A</definedName>
    <definedName name="J">#N/A</definedName>
    <definedName name="K">#N/A</definedName>
    <definedName name="kjh">'[14]MAY '!$E$17</definedName>
    <definedName name="L">#N/A</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#N/A</definedName>
    <definedName name="LOCAL_MYSQL_DATE_FORMAT" localSheetId="5" hidden="1">#N/A</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#N/A</definedName>
    <definedName name="MBAT">#REF!</definedName>
    <definedName name="MBT">'[8]Budget Pivot'!#REF!</definedName>
    <definedName name="mm" localSheetId="4" hidden="1">{"'Sheet1'!$A$1738:$L$2139"}</definedName>
    <definedName name="mm" localSheetId="5" hidden="1">{"'Sheet1'!$A$1738:$L$2139"}</definedName>
    <definedName name="mm" hidden="1">{"'Sheet1'!$A$1738:$L$2139"}</definedName>
    <definedName name="MONDEC">'[21]Average Daily Ridership - old'!#REF!</definedName>
    <definedName name="MONFEB">'[21]Average Daily Ridership - old'!#REF!</definedName>
    <definedName name="MONJAN">'[21]Average Daily Ridership - old'!#REF!</definedName>
    <definedName name="MONNOV">'[21]Average Daily Ridership - old'!#REF!</definedName>
    <definedName name="MONTHS">#REF!</definedName>
    <definedName name="N">#N/A</definedName>
    <definedName name="newbie" localSheetId="4">#N/A</definedName>
    <definedName name="newbie" localSheetId="5">#N/A</definedName>
    <definedName name="newbie">'[18]Agency Survey Results'!newbie</definedName>
    <definedName name="NewName">'[22]sqmile~1'!$A$1:$B$149</definedName>
    <definedName name="none" localSheetId="4">#N/A</definedName>
    <definedName name="none" localSheetId="5">#N/A</definedName>
    <definedName name="none">'[18]Agency Survey Results'!none</definedName>
    <definedName name="northern_cheyenne">#REF!</definedName>
    <definedName name="O">#N/A</definedName>
    <definedName name="P">#N/A</definedName>
    <definedName name="PAGE1">#REF!</definedName>
    <definedName name="Phase">'[23]2018  Cycle 3'!#REF!</definedName>
    <definedName name="pivot" localSheetId="4">#N/A</definedName>
    <definedName name="pivot" localSheetId="5">#N/A</definedName>
    <definedName name="pivot">'[18]Agency Survey Results'!pivot</definedName>
    <definedName name="_xlnm.Print_Area" localSheetId="0">'For Slides'!$A:$Q</definedName>
    <definedName name="_xlnm.Print_Area" localSheetId="4">'T2-4 A1 TTD LL Costs'!$C$56:$R$129</definedName>
    <definedName name="_xlnm.Print_Area" localSheetId="5">'T5-7 TART TNTTMA FinancialPlan'!$C$55:$R$121</definedName>
    <definedName name="_xlnm.Print_Area">#REF!</definedName>
    <definedName name="_xlnm.Print_Titles" localSheetId="16">[24]Revenue!$C:$D,[24]Revenue!$57:$57</definedName>
    <definedName name="_xlnm.Print_Titles">[25]Revenue!$A$1:$B$65536,[25]Revenue!$A$43:$IV$43</definedName>
    <definedName name="Q">#N/A</definedName>
    <definedName name="qww" localSheetId="4" hidden="1">{"'Sheet1'!$A$1738:$L$2139"}</definedName>
    <definedName name="qww" localSheetId="5" hidden="1">{"'Sheet1'!$A$1738:$L$2139"}</definedName>
    <definedName name="qww" hidden="1">{"'Sheet1'!$A$1738:$L$2139"}</definedName>
    <definedName name="Res_High">'[26]95 Socio'!#REF!</definedName>
    <definedName name="Res_Low">'[26]95 Socio'!#REF!</definedName>
    <definedName name="Res_Med">'[26]95 Socio'!#REF!</definedName>
    <definedName name="Residential_Occupied_Units">'[26]95 Socio'!#REF!</definedName>
    <definedName name="revised" localSheetId="4">#N/A</definedName>
    <definedName name="revised" localSheetId="5">#N/A</definedName>
    <definedName name="revised">'[18]Agency Survey Results'!revised</definedName>
    <definedName name="Routes">[20]Reference!$A:$A</definedName>
    <definedName name="rrr" localSheetId="4" hidden="1">{"'Sheet1'!$A$1738:$L$2139"}</definedName>
    <definedName name="rrr" localSheetId="5" hidden="1">{"'Sheet1'!$A$1738:$L$2139"}</definedName>
    <definedName name="rrr" hidden="1">{"'Sheet1'!$A$1738:$L$2139"}</definedName>
    <definedName name="s">#N/A</definedName>
    <definedName name="Saturdays">'[27]RT 21'!#REF!</definedName>
    <definedName name="sd">'[14]MAY '!$E$18</definedName>
    <definedName name="sdf">'[28]sqmile~1'!$A$1:$B$149</definedName>
    <definedName name="sdfsdf" localSheetId="4" hidden="1">{#N/A,#N/A,TRUE,"2 South";#N/A,#N/A,TRUE,"2 North";#N/A,#N/A,TRUE,"4 East";#N/A,#N/A,TRUE,"4 West"}</definedName>
    <definedName name="sdfsdf" localSheetId="5" hidden="1">{#N/A,#N/A,TRUE,"2 South";#N/A,#N/A,TRUE,"2 North";#N/A,#N/A,TRUE,"4 East";#N/A,#N/A,TRUE,"4 West"}</definedName>
    <definedName name="sdfsdf" hidden="1">{#N/A,#N/A,TRUE,"2 South";#N/A,#N/A,TRUE,"2 North";#N/A,#N/A,TRUE,"4 East";#N/A,#N/A,TRUE,"4 West"}</definedName>
    <definedName name="ServiceType">#REF!</definedName>
    <definedName name="sss" localSheetId="4" hidden="1">{"'Sheet1'!$A$1738:$L$2139"}</definedName>
    <definedName name="sss" localSheetId="5" hidden="1">{"'Sheet1'!$A$1738:$L$2139"}</definedName>
    <definedName name="sss" hidden="1">{"'Sheet1'!$A$1738:$L$2139"}</definedName>
    <definedName name="T">#N/A</definedName>
    <definedName name="T_Test">#REF!</definedName>
    <definedName name="TABLE1">#N/A</definedName>
    <definedName name="Table10">#REF!</definedName>
    <definedName name="talk" localSheetId="4">#N/A</definedName>
    <definedName name="talk" localSheetId="5">#N/A</definedName>
    <definedName name="talk">'[18]Agency Survey Results'!talk</definedName>
    <definedName name="test" localSheetId="4" hidden="1">{"'Sheet1'!$A$1738:$L$2139"}</definedName>
    <definedName name="test" localSheetId="5" hidden="1">{"'Sheet1'!$A$1738:$L$2139"}</definedName>
    <definedName name="test" hidden="1">{"'Sheet1'!$A$1738:$L$2139"}</definedName>
    <definedName name="test2">#REF!</definedName>
    <definedName name="TitleRegion1.f2.m3.6">[29]!Table1[[#Headers],[VOMS]]</definedName>
    <definedName name="TitleRegion2.e6.m15.6">[29]!Table2[[#Headers],[click to graph]]</definedName>
    <definedName name="TitleRegion3.c21.m53.6">[29]!Table3[[#Headers],[Description]]</definedName>
    <definedName name="TitleRegion4.e56.m67.6">[29]!Table4[[#Headers],[click to graph]]</definedName>
    <definedName name="TitleRegion5.d71.m127.6">[29]!Table5[[#Headers],[State]]</definedName>
    <definedName name="ttt" localSheetId="4" hidden="1">{"'Sheet1'!$A$1738:$L$2139"}</definedName>
    <definedName name="ttt" localSheetId="5" hidden="1">{"'Sheet1'!$A$1738:$L$2139"}</definedName>
    <definedName name="ttt" hidden="1">{"'Sheet1'!$A$1738:$L$2139"}</definedName>
    <definedName name="U">#N/A</definedName>
    <definedName name="uuu" localSheetId="4" hidden="1">{"'Sheet1'!$A$1738:$L$2139"}</definedName>
    <definedName name="uuu" localSheetId="5" hidden="1">{"'Sheet1'!$A$1738:$L$2139"}</definedName>
    <definedName name="uuu" hidden="1">{"'Sheet1'!$A$1738:$L$2139"}</definedName>
    <definedName name="V">#N/A</definedName>
    <definedName name="Vehicles">[20]Reference!$E:$E</definedName>
    <definedName name="vital5">[19]Sheet1!$E$15</definedName>
    <definedName name="W">#N/A</definedName>
    <definedName name="WEEKDAY">'[27]RT 21'!#REF!</definedName>
    <definedName name="Weekdays">'[30]Days Schedule'!$A$1:$G$2</definedName>
    <definedName name="whatever">#REF!</definedName>
    <definedName name="Work_Type">[20]Reference!$C:$C</definedName>
    <definedName name="wrn.2000._.Service." localSheetId="4" hidden="1">{"2000 Total Service",#N/A,TRUE,"SERVICE 2000";"2000 SM/TC Service",#N/A,TRUE,"SERVICE 2000";"2000 BM Service",#N/A,TRUE,"SERVICE 2000";"2000 HL Service",#N/A,TRUE,"SERVICE 2000"}</definedName>
    <definedName name="wrn.2000._.Service." localSheetId="5" hidden="1">{"2000 Total Service",#N/A,TRUE,"SERVICE 2000";"2000 SM/TC Service",#N/A,TRUE,"SERVICE 2000";"2000 BM Service",#N/A,TRUE,"SERVICE 2000";"2000 HL Service",#N/A,TRUE,"SERVICE 2000"}</definedName>
    <definedName name="wrn.2000._.Service." hidden="1">{"2000 Total Service",#N/A,TRUE,"SERVICE 2000";"2000 SM/TC Service",#N/A,TRUE,"SERVICE 2000";"2000 BM Service",#N/A,TRUE,"SERVICE 2000";"2000 HL Service",#N/A,TRUE,"SERVICE 2000"}</definedName>
    <definedName name="wrn.2001._.Service." localSheetId="4" hidden="1">{"2001 Total Service",#N/A,TRUE,"SERVICE 2001";"2001 SM/TC Service",#N/A,TRUE,"SERVICE 2001";"2001 BM Service",#N/A,TRUE,"SERVICE 2001";"2001 HL Service",#N/A,TRUE,"SERVICE 2001"}</definedName>
    <definedName name="wrn.2001._.Service." localSheetId="5" hidden="1">{"2001 Total Service",#N/A,TRUE,"SERVICE 2001";"2001 SM/TC Service",#N/A,TRUE,"SERVICE 2001";"2001 BM Service",#N/A,TRUE,"SERVICE 2001";"2001 HL Service",#N/A,TRUE,"SERVICE 2001"}</definedName>
    <definedName name="wrn.2001._.Service." hidden="1">{"2001 Total Service",#N/A,TRUE,"SERVICE 2001";"2001 SM/TC Service",#N/A,TRUE,"SERVICE 2001";"2001 BM Service",#N/A,TRUE,"SERVICE 2001";"2001 HL Service",#N/A,TRUE,"SERVICE 2001"}</definedName>
    <definedName name="wrn.2002._.Service." localSheetId="4" hidden="1">{"2002 Total Service",#N/A,FALSE,"SERVICE 2002";"2002 SM/TC Service",#N/A,FALSE,"SERVICE 2002";"2002 BM Service",#N/A,FALSE,"SERVICE 2002";"2002 HL Service",#N/A,FALSE,"SERVICE 2002"}</definedName>
    <definedName name="wrn.2002._.Service." localSheetId="5" hidden="1">{"2002 Total Service",#N/A,FALSE,"SERVICE 2002";"2002 SM/TC Service",#N/A,FALSE,"SERVICE 2002";"2002 BM Service",#N/A,FALSE,"SERVICE 2002";"2002 HL Service",#N/A,FALSE,"SERVICE 2002"}</definedName>
    <definedName name="wrn.2002._.Service." hidden="1">{"2002 Total Service",#N/A,FALSE,"SERVICE 2002";"2002 SM/TC Service",#N/A,FALSE,"SERVICE 2002";"2002 BM Service",#N/A,FALSE,"SERVICE 2002";"2002 HL Service",#N/A,FALSE,"SERVICE 2002"}</definedName>
    <definedName name="wrn.Annual." localSheetId="4" hidden="1">{#N/A,#N/A,TRUE,"Graphs";#N/A,#N/A,TRUE,"TOTAL";#N/A,#N/A,TRUE,"Routes";#N/A,#N/A,TRUE,"DARS";#N/A,#N/A,TRUE,"Rt.1";#N/A,#N/A,TRUE,"Rt.2";#N/A,#N/A,TRUE,"Rte 3";#N/A,#N/A,TRUE,"Rte4";#N/A,#N/A,TRUE,"Rte4A";#N/A,#N/A,TRUE,"Rte5";#N/A,#N/A,TRUE,"Rte6";#N/A,#N/A,TRUE,"Rte7";#N/A,#N/A,TRUE,"Clk DAR";#N/A,#N/A,TRUE,"Lkpt DAR";#N/A,#N/A,TRUE,"RCRC"}</definedName>
    <definedName name="wrn.Annual." localSheetId="5" hidden="1">{#N/A,#N/A,TRUE,"Graphs";#N/A,#N/A,TRUE,"TOTAL";#N/A,#N/A,TRUE,"Routes";#N/A,#N/A,TRUE,"DARS";#N/A,#N/A,TRUE,"Rt.1";#N/A,#N/A,TRUE,"Rt.2";#N/A,#N/A,TRUE,"Rte 3";#N/A,#N/A,TRUE,"Rte4";#N/A,#N/A,TRUE,"Rte4A";#N/A,#N/A,TRUE,"Rte5";#N/A,#N/A,TRUE,"Rte6";#N/A,#N/A,TRUE,"Rte7";#N/A,#N/A,TRUE,"Clk DAR";#N/A,#N/A,TRUE,"Lkpt DAR";#N/A,#N/A,TRUE,"RCRC"}</definedName>
    <definedName name="wrn.Annual." hidden="1">{#N/A,#N/A,TRUE,"Graphs";#N/A,#N/A,TRUE,"TOTAL";#N/A,#N/A,TRUE,"Routes";#N/A,#N/A,TRUE,"DARS";#N/A,#N/A,TRUE,"Rt.1";#N/A,#N/A,TRUE,"Rt.2";#N/A,#N/A,TRUE,"Rte 3";#N/A,#N/A,TRUE,"Rte4";#N/A,#N/A,TRUE,"Rte4A";#N/A,#N/A,TRUE,"Rte5";#N/A,#N/A,TRUE,"Rte6";#N/A,#N/A,TRUE,"Rte7";#N/A,#N/A,TRUE,"Clk DAR";#N/A,#N/A,TRUE,"Lkpt DAR";#N/A,#N/A,TRUE,"RCRC"}</definedName>
    <definedName name="wrn.ASC._.Contract." localSheetId="4" hidden="1">{"Exhibit A",#N/A,FALSE,"Exhibit A";"Exhibit B",#N/A,FALSE,"Exhibit B-1";"Exhibit B-2",#N/A,FALSE,"Exhibit B-2";"Exhibit B-3",#N/A,FALSE,"Exhibit B-3";"Exhibit B-4",#N/A,FALSE,"Exhibit B-4";"Exhibit C-1",#N/A,FALSE,"Exhibit C-1";"Exhibit C-2",#N/A,FALSE,"Exhibit C-2";"Exhibit C-3",#N/A,FALSE,"Exhibit C-3";"Exhibit C-4",#N/A,FALSE,"Exhibit C-4";"Exhibit C-5",#N/A,FALSE,"Exhibit C-5";"Exhibit D-1",#N/A,FALSE,"Exhibit D-1";"Exhibit E",#N/A,FALSE,"Exhibit E"}</definedName>
    <definedName name="wrn.ASC._.Contract." localSheetId="5" hidden="1">{"Exhibit A",#N/A,FALSE,"Exhibit A";"Exhibit B",#N/A,FALSE,"Exhibit B-1";"Exhibit B-2",#N/A,FALSE,"Exhibit B-2";"Exhibit B-3",#N/A,FALSE,"Exhibit B-3";"Exhibit B-4",#N/A,FALSE,"Exhibit B-4";"Exhibit C-1",#N/A,FALSE,"Exhibit C-1";"Exhibit C-2",#N/A,FALSE,"Exhibit C-2";"Exhibit C-3",#N/A,FALSE,"Exhibit C-3";"Exhibit C-4",#N/A,FALSE,"Exhibit C-4";"Exhibit C-5",#N/A,FALSE,"Exhibit C-5";"Exhibit D-1",#N/A,FALSE,"Exhibit D-1";"Exhibit E",#N/A,FALSE,"Exhibit E"}</definedName>
    <definedName name="wrn.ASC._.Contract." hidden="1">{"Exhibit A",#N/A,FALSE,"Exhibit A";"Exhibit B",#N/A,FALSE,"Exhibit B-1";"Exhibit B-2",#N/A,FALSE,"Exhibit B-2";"Exhibit B-3",#N/A,FALSE,"Exhibit B-3";"Exhibit B-4",#N/A,FALSE,"Exhibit B-4";"Exhibit C-1",#N/A,FALSE,"Exhibit C-1";"Exhibit C-2",#N/A,FALSE,"Exhibit C-2";"Exhibit C-3",#N/A,FALSE,"Exhibit C-3";"Exhibit C-4",#N/A,FALSE,"Exhibit C-4";"Exhibit C-5",#N/A,FALSE,"Exhibit C-5";"Exhibit D-1",#N/A,FALSE,"Exhibit D-1";"Exhibit E",#N/A,FALSE,"Exhibit E"}</definedName>
    <definedName name="wrn.ASC._.Service." localSheetId="4" hidden="1">{"ASC Total Service",#N/A,FALSE,"ASC SERVICE";"ASC SM/TC Service",#N/A,FALSE,"ASC SERVICE";"ASC BM Service",#N/A,FALSE,"ASC SERVICE";"ASC HL Service",#N/A,FALSE,"ASC SERVICE"}</definedName>
    <definedName name="wrn.ASC._.Service." localSheetId="5" hidden="1">{"ASC Total Service",#N/A,FALSE,"ASC SERVICE";"ASC SM/TC Service",#N/A,FALSE,"ASC SERVICE";"ASC BM Service",#N/A,FALSE,"ASC SERVICE";"ASC HL Service",#N/A,FALSE,"ASC SERVICE"}</definedName>
    <definedName name="wrn.ASC._.Service." hidden="1">{"ASC Total Service",#N/A,FALSE,"ASC SERVICE";"ASC SM/TC Service",#N/A,FALSE,"ASC SERVICE";"ASC BM Service",#N/A,FALSE,"ASC SERVICE";"ASC HL Service",#N/A,FALSE,"ASC SERVICE"}</definedName>
    <definedName name="wrn.Budget." localSheetId="4" hidden="1">{#N/A,#N/A,FALSE,"0304";#N/A,#N/A,FALSE,"8-13-03 Revision(proposed)";#N/A,#N/A,FALSE,"8-13-03 Revision Plus Loan"}</definedName>
    <definedName name="wrn.Budget." localSheetId="5" hidden="1">{#N/A,#N/A,FALSE,"0304";#N/A,#N/A,FALSE,"8-13-03 Revision(proposed)";#N/A,#N/A,FALSE,"8-13-03 Revision Plus Loan"}</definedName>
    <definedName name="wrn.Budget." hidden="1">{#N/A,#N/A,FALSE,"0304";#N/A,#N/A,FALSE,"8-13-03 Revision(proposed)";#N/A,#N/A,FALSE,"8-13-03 Revision Plus Loan"}</definedName>
    <definedName name="wrn.CAPREIT." localSheetId="4" hidden="1">{#N/A,#N/A,FALSE,"CAPREIT"}</definedName>
    <definedName name="wrn.CAPREIT." localSheetId="5" hidden="1">{#N/A,#N/A,FALSE,"CAPREIT"}</definedName>
    <definedName name="wrn.CAPREIT." hidden="1">{#N/A,#N/A,FALSE,"CAPREIT"}</definedName>
    <definedName name="wrn.CAPREIT2" localSheetId="4" hidden="1">{#N/A,#N/A,FALSE,"CAPREIT"}</definedName>
    <definedName name="wrn.CAPREIT2" localSheetId="5" hidden="1">{#N/A,#N/A,FALSE,"CAPREIT"}</definedName>
    <definedName name="wrn.CAPREIT2" hidden="1">{#N/A,#N/A,FALSE,"CAPREIT"}</definedName>
    <definedName name="wrn.FIXED._.ASSETS." localSheetId="4" hidden="1">{"CONTRACT OBLIGATIONS",#N/A,FALSE,"list for contract obligations";"ROLLING STOCK",#N/A,FALSE,"rolling stock";"LESS THAN 5000",#N/A,FALSE,"less than 5000";"REMOVED",#N/A,FALSE,"to be or already removed "}</definedName>
    <definedName name="wrn.FIXED._.ASSETS." localSheetId="5" hidden="1">{"CONTRACT OBLIGATIONS",#N/A,FALSE,"list for contract obligations";"ROLLING STOCK",#N/A,FALSE,"rolling stock";"LESS THAN 5000",#N/A,FALSE,"less than 5000";"REMOVED",#N/A,FALSE,"to be or already removed "}</definedName>
    <definedName name="wrn.FIXED._.ASSETS." hidden="1">{"CONTRACT OBLIGATIONS",#N/A,FALSE,"list for contract obligations";"ROLLING STOCK",#N/A,FALSE,"rolling stock";"LESS THAN 5000",#N/A,FALSE,"less than 5000";"REMOVED",#N/A,FALSE,"to be or already removed "}</definedName>
    <definedName name="wrn.GW._.EXHIBITS." localSheetId="4" hidden="1">{#N/A,#N/A,FALSE,"Exhibit C-1";#N/A,#N/A,FALSE,"Exhibit C-2";#N/A,#N/A,FALSE,"Exhibit C-3";#N/A,#N/A,FALSE,"Exhibit D";#N/A,#N/A,FALSE,"Exhibit E";#N/A,#N/A,FALSE,"Exhibit F"}</definedName>
    <definedName name="wrn.GW._.EXHIBITS." localSheetId="5" hidden="1">{#N/A,#N/A,FALSE,"Exhibit C-1";#N/A,#N/A,FALSE,"Exhibit C-2";#N/A,#N/A,FALSE,"Exhibit C-3";#N/A,#N/A,FALSE,"Exhibit D";#N/A,#N/A,FALSE,"Exhibit E";#N/A,#N/A,FALSE,"Exhibit F"}</definedName>
    <definedName name="wrn.GW._.EXHIBITS." hidden="1">{#N/A,#N/A,FALSE,"Exhibit C-1";#N/A,#N/A,FALSE,"Exhibit C-2";#N/A,#N/A,FALSE,"Exhibit C-3";#N/A,#N/A,FALSE,"Exhibit D";#N/A,#N/A,FALSE,"Exhibit E";#N/A,#N/A,FALSE,"Exhibit F"}</definedName>
    <definedName name="wrn.INFO._.FR._.1." localSheetId="4" hidden="1">{#N/A,#N/A,TRUE,"2 South";#N/A,#N/A,TRUE,"2 North";#N/A,#N/A,TRUE,"4 East";#N/A,#N/A,TRUE,"4 West"}</definedName>
    <definedName name="wrn.INFO._.FR._.1." localSheetId="5" hidden="1">{#N/A,#N/A,TRUE,"2 South";#N/A,#N/A,TRUE,"2 North";#N/A,#N/A,TRUE,"4 East";#N/A,#N/A,TRUE,"4 West"}</definedName>
    <definedName name="wrn.INFO._.FR._.1." hidden="1">{#N/A,#N/A,TRUE,"2 South";#N/A,#N/A,TRUE,"2 North";#N/A,#N/A,TRUE,"4 East";#N/A,#N/A,TRUE,"4 West"}</definedName>
    <definedName name="wrn.Nov_Dec._.Service._.02." localSheetId="4" hidden="1">{"Nov-Dec 02 Total",#N/A,FALSE,"NOV_DEC Service 02";"Nov-Dec 02 SMTC",#N/A,FALSE,"NOV_DEC Service 02";"Nov-Dec 02 BM",#N/A,FALSE,"NOV_DEC Service 02";"Nov-Dec 02 HL",#N/A,FALSE,"NOV_DEC Service 02"}</definedName>
    <definedName name="wrn.Nov_Dec._.Service._.02." localSheetId="5" hidden="1">{"Nov-Dec 02 Total",#N/A,FALSE,"NOV_DEC Service 02";"Nov-Dec 02 SMTC",#N/A,FALSE,"NOV_DEC Service 02";"Nov-Dec 02 BM",#N/A,FALSE,"NOV_DEC Service 02";"Nov-Dec 02 HL",#N/A,FALSE,"NOV_DEC Service 02"}</definedName>
    <definedName name="wrn.Nov_Dec._.Service._.02." hidden="1">{"Nov-Dec 02 Total",#N/A,FALSE,"NOV_DEC Service 02";"Nov-Dec 02 SMTC",#N/A,FALSE,"NOV_DEC Service 02";"Nov-Dec 02 BM",#N/A,FALSE,"NOV_DEC Service 02";"Nov-Dec 02 HL",#N/A,FALSE,"NOV_DEC Service 02"}</definedName>
    <definedName name="wrn.Quarterly." localSheetId="4" hidden="1">{#N/A,#N/A,TRUE,"Graphs2";#N/A,#N/A,TRUE,"Graphs";#N/A,#N/A,TRUE,"TOTAL";#N/A,#N/A,TRUE,"Routes";#N/A,#N/A,TRUE,"DARS";#N/A,#N/A,TRUE,"Rt.1";#N/A,#N/A,TRUE,"Rt.2";#N/A,#N/A,TRUE,"Rte 3";#N/A,#N/A,TRUE,"Rte4";#N/A,#N/A,TRUE,"Rte5";#N/A,#N/A,TRUE,"Rte6";#N/A,#N/A,TRUE,"Lkpt DAR";#N/A,#N/A,TRUE,"Clk DAR";#N/A,#N/A,TRUE,"RCRC";#N/A,#N/A,TRUE,"Special"}</definedName>
    <definedName name="wrn.Quarterly." localSheetId="5" hidden="1">{#N/A,#N/A,TRUE,"Graphs2";#N/A,#N/A,TRUE,"Graphs";#N/A,#N/A,TRUE,"TOTAL";#N/A,#N/A,TRUE,"Routes";#N/A,#N/A,TRUE,"DARS";#N/A,#N/A,TRUE,"Rt.1";#N/A,#N/A,TRUE,"Rt.2";#N/A,#N/A,TRUE,"Rte 3";#N/A,#N/A,TRUE,"Rte4";#N/A,#N/A,TRUE,"Rte5";#N/A,#N/A,TRUE,"Rte6";#N/A,#N/A,TRUE,"Lkpt DAR";#N/A,#N/A,TRUE,"Clk DAR";#N/A,#N/A,TRUE,"RCRC";#N/A,#N/A,TRUE,"Special"}</definedName>
    <definedName name="wrn.Quarterly." hidden="1">{#N/A,#N/A,TRUE,"Graphs2";#N/A,#N/A,TRUE,"Graphs";#N/A,#N/A,TRUE,"TOTAL";#N/A,#N/A,TRUE,"Routes";#N/A,#N/A,TRUE,"DARS";#N/A,#N/A,TRUE,"Rt.1";#N/A,#N/A,TRUE,"Rt.2";#N/A,#N/A,TRUE,"Rte 3";#N/A,#N/A,TRUE,"Rte4";#N/A,#N/A,TRUE,"Rte5";#N/A,#N/A,TRUE,"Rte6";#N/A,#N/A,TRUE,"Lkpt DAR";#N/A,#N/A,TRUE,"Clk DAR";#N/A,#N/A,TRUE,"RCRC";#N/A,#N/A,TRUE,"Special"}</definedName>
    <definedName name="wrn.Route._.1._.Stops." localSheetId="4" hidden="1">{#N/A,#N/A,FALSE,"1 East";#N/A,#N/A,FALSE,"1 West"}</definedName>
    <definedName name="wrn.Route._.1._.Stops." localSheetId="5" hidden="1">{#N/A,#N/A,FALSE,"1 East";#N/A,#N/A,FALSE,"1 West"}</definedName>
    <definedName name="wrn.Route._.1._.Stops." hidden="1">{#N/A,#N/A,FALSE,"1 East";#N/A,#N/A,FALSE,"1 West"}</definedName>
    <definedName name="wrn.Salestax._.report." localSheetId="4" hidden="1">{"RFTA Actuals",#N/A,TRUE,"monthly summary";"RFTA Budget",#N/A,TRUE,"monthly summary";"Pitco",#N/A,TRUE,"monthly summary"}</definedName>
    <definedName name="wrn.Salestax._.report." localSheetId="5" hidden="1">{"RFTA Actuals",#N/A,TRUE,"monthly summary";"RFTA Budget",#N/A,TRUE,"monthly summary";"Pitco",#N/A,TRUE,"monthly summary"}</definedName>
    <definedName name="wrn.Salestax._.report." hidden="1">{"RFTA Actuals",#N/A,TRUE,"monthly summary";"RFTA Budget",#N/A,TRUE,"monthly summary";"Pitco",#N/A,TRUE,"monthly summary"}</definedName>
    <definedName name="wrn.Weekly2000." localSheetId="4" hidden="1">{"cum2000",#N/A,FALSE,"-SERVICE 2000";"smtc2000",#N/A,FALSE,"-SERVICE 2000"}</definedName>
    <definedName name="wrn.Weekly2000." localSheetId="5" hidden="1">{"cum2000",#N/A,FALSE,"-SERVICE 2000";"smtc2000",#N/A,FALSE,"-SERVICE 2000"}</definedName>
    <definedName name="wrn.Weekly2000." hidden="1">{"cum2000",#N/A,FALSE,"-SERVICE 2000";"smtc2000",#N/A,FALSE,"-SERVICE 2000"}</definedName>
    <definedName name="X">#N/A</definedName>
    <definedName name="xcvsdvsdfg" localSheetId="4" hidden="1">{"'Sheet1'!$A$1738:$L$2139"}</definedName>
    <definedName name="xcvsdvsdfg" localSheetId="5" hidden="1">{"'Sheet1'!$A$1738:$L$2139"}</definedName>
    <definedName name="xcvsdvsdfg" hidden="1">{"'Sheet1'!$A$1738:$L$2139"}</definedName>
    <definedName name="xxx" localSheetId="4" hidden="1">{"'Sheet1'!$A$1738:$L$2139"}</definedName>
    <definedName name="xxx" localSheetId="5" hidden="1">{"'Sheet1'!$A$1738:$L$2139"}</definedName>
    <definedName name="xxx" hidden="1">{"'Sheet1'!$A$1738:$L$2139"}</definedName>
    <definedName name="Y">#N/A</definedName>
    <definedName name="yyy" localSheetId="4" hidden="1">{"'Sheet1'!$A$1738:$L$2139"}</definedName>
    <definedName name="yyy" localSheetId="5" hidden="1">{"'Sheet1'!$A$1738:$L$2139"}</definedName>
    <definedName name="yyy" hidden="1">{"'Sheet1'!$A$1738:$L$2139"}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4" i="38" l="1"/>
  <c r="I37" i="38"/>
  <c r="I27" i="38"/>
  <c r="I33" i="34" l="1"/>
  <c r="J33" i="34"/>
  <c r="K33" i="34"/>
  <c r="H33" i="34"/>
  <c r="G33" i="34"/>
  <c r="J31" i="34"/>
  <c r="K31" i="34"/>
  <c r="I31" i="34"/>
  <c r="I30" i="34"/>
  <c r="J30" i="34"/>
  <c r="K30" i="34"/>
  <c r="H30" i="34"/>
  <c r="J49" i="38" l="1"/>
  <c r="I53" i="38"/>
  <c r="H12" i="38"/>
  <c r="I29" i="34"/>
  <c r="J29" i="34"/>
  <c r="K29" i="34"/>
  <c r="H29" i="34"/>
  <c r="G29" i="34"/>
  <c r="I32" i="34" l="1"/>
  <c r="J32" i="34"/>
  <c r="K32" i="34"/>
  <c r="H32" i="34"/>
  <c r="J27" i="46" l="1"/>
  <c r="J28" i="38"/>
  <c r="J20" i="38"/>
  <c r="F42" i="58"/>
  <c r="M111" i="37"/>
  <c r="F189" i="37"/>
  <c r="F188" i="37"/>
  <c r="F164" i="37"/>
  <c r="F163" i="37"/>
  <c r="F141" i="37"/>
  <c r="F140" i="37"/>
  <c r="F255" i="34"/>
  <c r="F254" i="34"/>
  <c r="F232" i="34"/>
  <c r="F231" i="34"/>
  <c r="I21" i="38"/>
  <c r="K99" i="38"/>
  <c r="I100" i="38"/>
  <c r="J100" i="38"/>
  <c r="K100" i="38"/>
  <c r="L100" i="38"/>
  <c r="I101" i="38"/>
  <c r="E101" i="38"/>
  <c r="E100" i="38"/>
  <c r="E99" i="38"/>
  <c r="E98" i="38"/>
  <c r="P55" i="38"/>
  <c r="I55" i="38" s="1"/>
  <c r="I54" i="38"/>
  <c r="J52" i="38"/>
  <c r="J99" i="38" s="1"/>
  <c r="K52" i="38"/>
  <c r="L52" i="38"/>
  <c r="L99" i="38" s="1"/>
  <c r="I52" i="38"/>
  <c r="I99" i="38" s="1"/>
  <c r="H52" i="38"/>
  <c r="H99" i="38" s="1"/>
  <c r="J50" i="38"/>
  <c r="I48" i="38"/>
  <c r="I98" i="38" s="1"/>
  <c r="K48" i="38"/>
  <c r="K98" i="38" s="1"/>
  <c r="L48" i="38"/>
  <c r="L98" i="38" s="1"/>
  <c r="H48" i="38"/>
  <c r="H98" i="38" s="1"/>
  <c r="I56" i="38" l="1"/>
  <c r="I102" i="38"/>
  <c r="N99" i="38"/>
  <c r="J48" i="38"/>
  <c r="L55" i="38"/>
  <c r="K55" i="38"/>
  <c r="J55" i="38"/>
  <c r="J101" i="38" s="1"/>
  <c r="H55" i="38"/>
  <c r="H101" i="38" s="1"/>
  <c r="H54" i="38"/>
  <c r="E88" i="38"/>
  <c r="H88" i="38"/>
  <c r="I88" i="38"/>
  <c r="J88" i="38"/>
  <c r="K88" i="38"/>
  <c r="L88" i="38"/>
  <c r="M224" i="34"/>
  <c r="G225" i="34"/>
  <c r="H225" i="34" s="1"/>
  <c r="G224" i="34"/>
  <c r="M225" i="34"/>
  <c r="G98" i="34"/>
  <c r="H88" i="34"/>
  <c r="I88" i="34" s="1"/>
  <c r="J88" i="34" s="1"/>
  <c r="K88" i="34" s="1"/>
  <c r="B88" i="34"/>
  <c r="I73" i="34"/>
  <c r="H65" i="34"/>
  <c r="I65" i="34" s="1"/>
  <c r="J65" i="34" s="1"/>
  <c r="K65" i="34" s="1"/>
  <c r="J63" i="34"/>
  <c r="H63" i="34"/>
  <c r="H61" i="34"/>
  <c r="I61" i="34" s="1"/>
  <c r="J61" i="34" s="1"/>
  <c r="K61" i="34" s="1"/>
  <c r="G155" i="37"/>
  <c r="H155" i="37"/>
  <c r="I155" i="37"/>
  <c r="J155" i="37"/>
  <c r="K155" i="37"/>
  <c r="G158" i="37"/>
  <c r="H158" i="37"/>
  <c r="I158" i="37"/>
  <c r="J158" i="37"/>
  <c r="K158" i="37"/>
  <c r="H70" i="37"/>
  <c r="H69" i="37"/>
  <c r="I69" i="37" s="1"/>
  <c r="J69" i="37" s="1"/>
  <c r="K69" i="37" s="1"/>
  <c r="M73" i="37"/>
  <c r="H60" i="37"/>
  <c r="I60" i="37" s="1"/>
  <c r="J60" i="37" s="1"/>
  <c r="K60" i="37" s="1"/>
  <c r="H59" i="37"/>
  <c r="I59" i="37" s="1"/>
  <c r="J59" i="37" s="1"/>
  <c r="K59" i="37" s="1"/>
  <c r="G63" i="37"/>
  <c r="H63" i="37" s="1"/>
  <c r="I63" i="37" s="1"/>
  <c r="J63" i="37" s="1"/>
  <c r="K63" i="37" s="1"/>
  <c r="G62" i="37"/>
  <c r="G61" i="37"/>
  <c r="H61" i="37" s="1"/>
  <c r="I61" i="37" s="1"/>
  <c r="J61" i="37" s="1"/>
  <c r="K61" i="37" s="1"/>
  <c r="H56" i="38" l="1"/>
  <c r="H100" i="38"/>
  <c r="K56" i="38"/>
  <c r="K101" i="38"/>
  <c r="K102" i="38" s="1"/>
  <c r="L56" i="38"/>
  <c r="L101" i="38"/>
  <c r="L102" i="38" s="1"/>
  <c r="J56" i="38"/>
  <c r="J98" i="38"/>
  <c r="K163" i="37"/>
  <c r="J163" i="37"/>
  <c r="I163" i="37"/>
  <c r="H163" i="37"/>
  <c r="M157" i="37"/>
  <c r="G163" i="37"/>
  <c r="H62" i="37"/>
  <c r="M134" i="37"/>
  <c r="M158" i="37"/>
  <c r="I225" i="34"/>
  <c r="H224" i="34"/>
  <c r="N52" i="38"/>
  <c r="N55" i="38"/>
  <c r="N54" i="38"/>
  <c r="N48" i="38"/>
  <c r="N88" i="38"/>
  <c r="M156" i="37"/>
  <c r="M161" i="37"/>
  <c r="M160" i="37"/>
  <c r="M159" i="37"/>
  <c r="N56" i="38" l="1"/>
  <c r="J102" i="38"/>
  <c r="N98" i="38"/>
  <c r="N101" i="38"/>
  <c r="H102" i="38"/>
  <c r="N100" i="38"/>
  <c r="I62" i="37"/>
  <c r="J225" i="34"/>
  <c r="I224" i="34"/>
  <c r="G186" i="37"/>
  <c r="F21" i="57"/>
  <c r="V26" i="57"/>
  <c r="G83" i="37"/>
  <c r="G84" i="37"/>
  <c r="G85" i="37"/>
  <c r="G86" i="37"/>
  <c r="G87" i="37"/>
  <c r="G88" i="37"/>
  <c r="G89" i="37"/>
  <c r="G82" i="37"/>
  <c r="G81" i="37"/>
  <c r="G80" i="37"/>
  <c r="G79" i="37"/>
  <c r="G78" i="37"/>
  <c r="G77" i="37"/>
  <c r="G76" i="37"/>
  <c r="T12" i="57"/>
  <c r="U12" i="57"/>
  <c r="V12" i="57"/>
  <c r="V9" i="57"/>
  <c r="U11" i="57"/>
  <c r="U13" i="57"/>
  <c r="U14" i="57"/>
  <c r="U15" i="57"/>
  <c r="U17" i="57"/>
  <c r="U18" i="57"/>
  <c r="U19" i="57"/>
  <c r="U20" i="57"/>
  <c r="U21" i="57"/>
  <c r="U22" i="57"/>
  <c r="V11" i="57"/>
  <c r="V14" i="57"/>
  <c r="Q21" i="57"/>
  <c r="K42" i="57"/>
  <c r="K21" i="57"/>
  <c r="F42" i="57"/>
  <c r="V25" i="57"/>
  <c r="V22" i="57"/>
  <c r="V21" i="57"/>
  <c r="V20" i="57"/>
  <c r="V19" i="57"/>
  <c r="V18" i="57"/>
  <c r="V17" i="57"/>
  <c r="V16" i="57"/>
  <c r="V15" i="57"/>
  <c r="V13" i="57"/>
  <c r="V10" i="57"/>
  <c r="N102" i="38" l="1"/>
  <c r="H87" i="37"/>
  <c r="H88" i="37"/>
  <c r="H85" i="37"/>
  <c r="H84" i="37"/>
  <c r="H81" i="37"/>
  <c r="I81" i="37" s="1"/>
  <c r="J81" i="37" s="1"/>
  <c r="K81" i="37" s="1"/>
  <c r="M81" i="37"/>
  <c r="H83" i="37"/>
  <c r="H80" i="37"/>
  <c r="H79" i="37"/>
  <c r="I79" i="37" s="1"/>
  <c r="J79" i="37" s="1"/>
  <c r="K79" i="37" s="1"/>
  <c r="H76" i="37"/>
  <c r="I76" i="37" s="1"/>
  <c r="J76" i="37" s="1"/>
  <c r="K76" i="37" s="1"/>
  <c r="G93" i="37"/>
  <c r="H89" i="37"/>
  <c r="J62" i="37"/>
  <c r="K225" i="34"/>
  <c r="J224" i="34"/>
  <c r="H77" i="37"/>
  <c r="H78" i="37"/>
  <c r="H82" i="37"/>
  <c r="H86" i="37"/>
  <c r="G184" i="37"/>
  <c r="T9" i="57"/>
  <c r="V23" i="57"/>
  <c r="V7" i="57"/>
  <c r="F38" i="57"/>
  <c r="F36" i="57"/>
  <c r="F39" i="57"/>
  <c r="Q19" i="57"/>
  <c r="Q22" i="57" s="1"/>
  <c r="G33" i="37" s="1"/>
  <c r="H33" i="37" s="1"/>
  <c r="K43" i="57"/>
  <c r="G31" i="37" s="1"/>
  <c r="K22" i="57"/>
  <c r="G32" i="37" s="1"/>
  <c r="T10" i="57"/>
  <c r="T22" i="57"/>
  <c r="T21" i="57"/>
  <c r="T20" i="57"/>
  <c r="T19" i="57"/>
  <c r="T18" i="57"/>
  <c r="T17" i="57"/>
  <c r="T16" i="57"/>
  <c r="T15" i="57"/>
  <c r="T13" i="57"/>
  <c r="T11" i="57"/>
  <c r="F87" i="37"/>
  <c r="F82" i="37"/>
  <c r="F84" i="37"/>
  <c r="F85" i="37"/>
  <c r="F86" i="37"/>
  <c r="F88" i="37"/>
  <c r="F89" i="37"/>
  <c r="F80" i="37"/>
  <c r="F78" i="37"/>
  <c r="K37" i="37"/>
  <c r="J37" i="37"/>
  <c r="I37" i="37"/>
  <c r="J36" i="37"/>
  <c r="G36" i="37"/>
  <c r="H36" i="37"/>
  <c r="I36" i="37"/>
  <c r="J45" i="57"/>
  <c r="J46" i="57" s="1"/>
  <c r="H37" i="37" s="1"/>
  <c r="J42" i="57"/>
  <c r="J43" i="57"/>
  <c r="F31" i="37" s="1"/>
  <c r="J21" i="57"/>
  <c r="J22" i="57"/>
  <c r="F32" i="37" s="1"/>
  <c r="E19" i="57"/>
  <c r="E22" i="57" s="1"/>
  <c r="E21" i="57"/>
  <c r="E39" i="57"/>
  <c r="E38" i="57"/>
  <c r="E36" i="57"/>
  <c r="E29" i="57"/>
  <c r="E32" i="57"/>
  <c r="E30" i="57"/>
  <c r="U10" i="57" s="1"/>
  <c r="P21" i="57"/>
  <c r="P19" i="57"/>
  <c r="P22" i="57" s="1"/>
  <c r="F33" i="37" s="1"/>
  <c r="O19" i="57"/>
  <c r="O22" i="57" s="1"/>
  <c r="O21" i="57"/>
  <c r="I42" i="57"/>
  <c r="I37" i="57"/>
  <c r="I43" i="57" s="1"/>
  <c r="D42" i="57"/>
  <c r="D39" i="57"/>
  <c r="D38" i="57"/>
  <c r="D36" i="57"/>
  <c r="I22" i="57"/>
  <c r="I21" i="57"/>
  <c r="F19" i="57"/>
  <c r="F22" i="57" s="1"/>
  <c r="M79" i="37" l="1"/>
  <c r="M76" i="37"/>
  <c r="K62" i="37"/>
  <c r="H32" i="37"/>
  <c r="I32" i="37" s="1"/>
  <c r="J32" i="37" s="1"/>
  <c r="K32" i="37" s="1"/>
  <c r="K224" i="34"/>
  <c r="H184" i="37"/>
  <c r="F83" i="37"/>
  <c r="U16" i="57"/>
  <c r="F76" i="37"/>
  <c r="U9" i="57"/>
  <c r="F43" i="57"/>
  <c r="G30" i="37" s="1"/>
  <c r="G29" i="37"/>
  <c r="U23" i="57"/>
  <c r="I33" i="37"/>
  <c r="J33" i="37" s="1"/>
  <c r="K33" i="37" s="1"/>
  <c r="I89" i="37"/>
  <c r="I83" i="37"/>
  <c r="J83" i="37" s="1"/>
  <c r="K83" i="37" s="1"/>
  <c r="I85" i="37"/>
  <c r="I80" i="37"/>
  <c r="D43" i="57"/>
  <c r="F77" i="37"/>
  <c r="E42" i="57"/>
  <c r="H31" i="37"/>
  <c r="I31" i="37" s="1"/>
  <c r="J31" i="37" s="1"/>
  <c r="K31" i="37" s="1"/>
  <c r="E43" i="57"/>
  <c r="F30" i="37" s="1"/>
  <c r="G37" i="37"/>
  <c r="G185" i="37"/>
  <c r="F21" i="58" s="1"/>
  <c r="G183" i="37"/>
  <c r="I86" i="37"/>
  <c r="J86" i="37" s="1"/>
  <c r="K86" i="37" s="1"/>
  <c r="I84" i="37"/>
  <c r="J84" i="37" s="1"/>
  <c r="K84" i="37" s="1"/>
  <c r="M84" i="37" s="1"/>
  <c r="I78" i="37"/>
  <c r="J78" i="37" s="1"/>
  <c r="K78" i="37" s="1"/>
  <c r="I82" i="37"/>
  <c r="J82" i="37" s="1"/>
  <c r="K82" i="37" s="1"/>
  <c r="T23" i="57"/>
  <c r="J85" i="37" l="1"/>
  <c r="K85" i="37" s="1"/>
  <c r="J80" i="37"/>
  <c r="K80" i="37" s="1"/>
  <c r="M86" i="37"/>
  <c r="M82" i="37"/>
  <c r="M78" i="37"/>
  <c r="M83" i="37"/>
  <c r="J89" i="37"/>
  <c r="H29" i="37"/>
  <c r="F93" i="37"/>
  <c r="G39" i="37"/>
  <c r="I77" i="37"/>
  <c r="H183" i="37"/>
  <c r="G34" i="37"/>
  <c r="I88" i="37"/>
  <c r="H185" i="37"/>
  <c r="G21" i="58" s="1"/>
  <c r="I87" i="37"/>
  <c r="M85" i="37" l="1"/>
  <c r="M80" i="37"/>
  <c r="G101" i="37"/>
  <c r="G175" i="37" s="1"/>
  <c r="G104" i="37"/>
  <c r="G176" i="37" s="1"/>
  <c r="I29" i="37"/>
  <c r="K89" i="37"/>
  <c r="M89" i="37" s="1"/>
  <c r="H30" i="37"/>
  <c r="H34" i="37" s="1"/>
  <c r="J87" i="37"/>
  <c r="I184" i="37"/>
  <c r="J88" i="37"/>
  <c r="I185" i="37"/>
  <c r="H21" i="58" s="1"/>
  <c r="J77" i="37"/>
  <c r="I183" i="37"/>
  <c r="G97" i="37"/>
  <c r="G178" i="37" s="1"/>
  <c r="G181" i="37"/>
  <c r="G188" i="37" l="1"/>
  <c r="G189" i="37"/>
  <c r="G110" i="37"/>
  <c r="G109" i="37"/>
  <c r="H104" i="37"/>
  <c r="H176" i="37" s="1"/>
  <c r="H101" i="37"/>
  <c r="H175" i="37" s="1"/>
  <c r="J29" i="37"/>
  <c r="M181" i="37"/>
  <c r="I30" i="37"/>
  <c r="J30" i="37" s="1"/>
  <c r="H181" i="37"/>
  <c r="H93" i="37"/>
  <c r="K87" i="37"/>
  <c r="J184" i="37"/>
  <c r="K77" i="37"/>
  <c r="J183" i="37"/>
  <c r="K88" i="37"/>
  <c r="K185" i="37" s="1"/>
  <c r="J21" i="58" s="1"/>
  <c r="J185" i="37"/>
  <c r="I21" i="58" s="1"/>
  <c r="I251" i="34"/>
  <c r="J251" i="34"/>
  <c r="K251" i="34"/>
  <c r="H250" i="34"/>
  <c r="I250" i="34"/>
  <c r="G251" i="34"/>
  <c r="G249" i="34"/>
  <c r="G250" i="34"/>
  <c r="G248" i="34"/>
  <c r="F16" i="58" s="1"/>
  <c r="F251" i="34"/>
  <c r="F250" i="34"/>
  <c r="F248" i="34"/>
  <c r="F247" i="34"/>
  <c r="K73" i="34"/>
  <c r="K183" i="37" l="1"/>
  <c r="M77" i="37"/>
  <c r="K184" i="37"/>
  <c r="M87" i="37"/>
  <c r="H97" i="37"/>
  <c r="H178" i="37" s="1"/>
  <c r="M88" i="37"/>
  <c r="H110" i="37"/>
  <c r="H109" i="37"/>
  <c r="K29" i="37"/>
  <c r="M180" i="37"/>
  <c r="M182" i="37"/>
  <c r="M179" i="37"/>
  <c r="M184" i="37"/>
  <c r="M185" i="37"/>
  <c r="M183" i="37"/>
  <c r="I34" i="37"/>
  <c r="I181" i="37"/>
  <c r="I93" i="37"/>
  <c r="I97" i="37" s="1"/>
  <c r="I178" i="37" s="1"/>
  <c r="K30" i="37"/>
  <c r="J34" i="37"/>
  <c r="F228" i="34"/>
  <c r="G25" i="34"/>
  <c r="E37" i="37"/>
  <c r="H39" i="37"/>
  <c r="I39" i="37"/>
  <c r="J39" i="37"/>
  <c r="X28" i="56"/>
  <c r="W28" i="56"/>
  <c r="V28" i="56"/>
  <c r="U28" i="56"/>
  <c r="M88" i="53"/>
  <c r="G83" i="56"/>
  <c r="P58" i="56"/>
  <c r="U53" i="56"/>
  <c r="R53" i="56"/>
  <c r="Q53" i="56"/>
  <c r="P53" i="56"/>
  <c r="N53" i="56"/>
  <c r="M53" i="56"/>
  <c r="L53" i="56"/>
  <c r="J53" i="56"/>
  <c r="I53" i="56"/>
  <c r="H53" i="56"/>
  <c r="G53" i="56"/>
  <c r="F53" i="56"/>
  <c r="AC51" i="56"/>
  <c r="AC50" i="56"/>
  <c r="AC49" i="56"/>
  <c r="AC48" i="56"/>
  <c r="AC47" i="56"/>
  <c r="AC46" i="56"/>
  <c r="AC45" i="56"/>
  <c r="AC44" i="56"/>
  <c r="AC43" i="56"/>
  <c r="AC42" i="56"/>
  <c r="AC41" i="56"/>
  <c r="AC40" i="56"/>
  <c r="AC39" i="56"/>
  <c r="AC38" i="56"/>
  <c r="AC37" i="56"/>
  <c r="AC24" i="56"/>
  <c r="AC23" i="56"/>
  <c r="AC22" i="56"/>
  <c r="AC21" i="56"/>
  <c r="AC20" i="56"/>
  <c r="AC19" i="56"/>
  <c r="AC18" i="56"/>
  <c r="AC17" i="56"/>
  <c r="AC16" i="56"/>
  <c r="AC15" i="56"/>
  <c r="AC12" i="56"/>
  <c r="AC10" i="56"/>
  <c r="AC8" i="56"/>
  <c r="AC6" i="56"/>
  <c r="AC3" i="56"/>
  <c r="S44" i="53"/>
  <c r="T44" i="53"/>
  <c r="S45" i="53"/>
  <c r="T45" i="53"/>
  <c r="S46" i="53"/>
  <c r="T46" i="53"/>
  <c r="S47" i="53"/>
  <c r="T47" i="53"/>
  <c r="S48" i="53"/>
  <c r="T48" i="53"/>
  <c r="S49" i="53"/>
  <c r="T49" i="53"/>
  <c r="S50" i="53"/>
  <c r="T50" i="53"/>
  <c r="S51" i="53"/>
  <c r="T51" i="53"/>
  <c r="S52" i="53"/>
  <c r="T52" i="53"/>
  <c r="R52" i="53"/>
  <c r="R51" i="53"/>
  <c r="R50" i="53"/>
  <c r="R49" i="53"/>
  <c r="R48" i="53"/>
  <c r="R47" i="53"/>
  <c r="R46" i="53"/>
  <c r="R45" i="53"/>
  <c r="R44" i="53"/>
  <c r="S43" i="53"/>
  <c r="T43" i="53"/>
  <c r="R43" i="53"/>
  <c r="K26" i="53"/>
  <c r="L26" i="53"/>
  <c r="M26" i="53"/>
  <c r="N26" i="53"/>
  <c r="O26" i="53"/>
  <c r="P26" i="53"/>
  <c r="Q26" i="53"/>
  <c r="R26" i="53"/>
  <c r="S26" i="53"/>
  <c r="T26" i="53"/>
  <c r="K27" i="53"/>
  <c r="L27" i="53"/>
  <c r="M27" i="53"/>
  <c r="N27" i="53"/>
  <c r="O27" i="53"/>
  <c r="P27" i="53"/>
  <c r="Q27" i="53"/>
  <c r="R27" i="53"/>
  <c r="S27" i="53"/>
  <c r="T27" i="53"/>
  <c r="K28" i="53"/>
  <c r="L28" i="53"/>
  <c r="M28" i="53"/>
  <c r="N28" i="53"/>
  <c r="O28" i="53"/>
  <c r="P28" i="53"/>
  <c r="Q28" i="53"/>
  <c r="R28" i="53"/>
  <c r="S28" i="53"/>
  <c r="T28" i="53"/>
  <c r="Q29" i="53"/>
  <c r="R29" i="53"/>
  <c r="S29" i="53"/>
  <c r="T29" i="53"/>
  <c r="K30" i="53"/>
  <c r="L30" i="53"/>
  <c r="M30" i="53"/>
  <c r="N30" i="53"/>
  <c r="O30" i="53"/>
  <c r="P30" i="53"/>
  <c r="Q30" i="53"/>
  <c r="R30" i="53"/>
  <c r="S30" i="53"/>
  <c r="T30" i="53"/>
  <c r="K31" i="53"/>
  <c r="L31" i="53"/>
  <c r="M31" i="53"/>
  <c r="N31" i="53"/>
  <c r="O31" i="53"/>
  <c r="P31" i="53"/>
  <c r="Q31" i="53"/>
  <c r="R31" i="53"/>
  <c r="S31" i="53"/>
  <c r="T31" i="53"/>
  <c r="K32" i="53"/>
  <c r="L32" i="53"/>
  <c r="M32" i="53"/>
  <c r="N32" i="53"/>
  <c r="O32" i="53"/>
  <c r="P32" i="53"/>
  <c r="Q32" i="53"/>
  <c r="R32" i="53"/>
  <c r="S32" i="53"/>
  <c r="T32" i="53"/>
  <c r="K33" i="53"/>
  <c r="L33" i="53"/>
  <c r="M33" i="53"/>
  <c r="N33" i="53"/>
  <c r="O33" i="53"/>
  <c r="P33" i="53"/>
  <c r="Q33" i="53"/>
  <c r="R33" i="53"/>
  <c r="S33" i="53"/>
  <c r="T33" i="53"/>
  <c r="J33" i="53"/>
  <c r="J32" i="53"/>
  <c r="J31" i="53"/>
  <c r="J30" i="53"/>
  <c r="J28" i="53"/>
  <c r="J27" i="53"/>
  <c r="J26" i="53"/>
  <c r="P18" i="53"/>
  <c r="P17" i="53"/>
  <c r="AB12" i="53"/>
  <c r="AC12" i="53"/>
  <c r="V12" i="53"/>
  <c r="W12" i="53"/>
  <c r="X12" i="53"/>
  <c r="Y12" i="53"/>
  <c r="Z12" i="53"/>
  <c r="AA12" i="53"/>
  <c r="U12" i="53"/>
  <c r="H15" i="53"/>
  <c r="K15" i="53"/>
  <c r="L15" i="53"/>
  <c r="M15" i="53"/>
  <c r="N15" i="53"/>
  <c r="O15" i="53"/>
  <c r="P15" i="53"/>
  <c r="Q15" i="53"/>
  <c r="R15" i="53"/>
  <c r="S15" i="53"/>
  <c r="T15" i="53"/>
  <c r="J15" i="53"/>
  <c r="K14" i="53"/>
  <c r="L14" i="53"/>
  <c r="M14" i="53"/>
  <c r="N14" i="53"/>
  <c r="O14" i="53"/>
  <c r="P14" i="53"/>
  <c r="Q14" i="53"/>
  <c r="R14" i="53"/>
  <c r="S14" i="53"/>
  <c r="T14" i="53"/>
  <c r="J14" i="53"/>
  <c r="K13" i="53"/>
  <c r="L13" i="53"/>
  <c r="M13" i="53"/>
  <c r="N13" i="53"/>
  <c r="O13" i="53"/>
  <c r="P13" i="53"/>
  <c r="Q13" i="53"/>
  <c r="R13" i="53"/>
  <c r="S13" i="53"/>
  <c r="T13" i="53"/>
  <c r="J13" i="53"/>
  <c r="K12" i="53"/>
  <c r="L12" i="53"/>
  <c r="M12" i="53"/>
  <c r="N12" i="53"/>
  <c r="O12" i="53"/>
  <c r="P12" i="53"/>
  <c r="Q12" i="53"/>
  <c r="R12" i="53"/>
  <c r="S12" i="53"/>
  <c r="T12" i="53"/>
  <c r="J12" i="53"/>
  <c r="U3" i="54"/>
  <c r="F45" i="46"/>
  <c r="T3" i="54" s="1"/>
  <c r="S3" i="54"/>
  <c r="R3" i="54"/>
  <c r="Q3" i="54"/>
  <c r="J42" i="51"/>
  <c r="J41" i="51"/>
  <c r="J39" i="51"/>
  <c r="J40" i="51"/>
  <c r="J38" i="51"/>
  <c r="J37" i="51"/>
  <c r="Q25" i="54"/>
  <c r="AD19" i="54"/>
  <c r="AD17" i="54"/>
  <c r="AD18" i="54"/>
  <c r="AD3" i="54"/>
  <c r="H188" i="37" l="1"/>
  <c r="H189" i="37"/>
  <c r="J101" i="37"/>
  <c r="J175" i="37" s="1"/>
  <c r="J104" i="37"/>
  <c r="J176" i="37" s="1"/>
  <c r="I101" i="37"/>
  <c r="I104" i="37"/>
  <c r="K34" i="37"/>
  <c r="J181" i="37"/>
  <c r="J93" i="37"/>
  <c r="E53" i="56"/>
  <c r="R62" i="53"/>
  <c r="S62" i="53"/>
  <c r="T62" i="53"/>
  <c r="U62" i="53"/>
  <c r="V62" i="53"/>
  <c r="W62" i="53"/>
  <c r="X62" i="53"/>
  <c r="Y62" i="53"/>
  <c r="Z62" i="53"/>
  <c r="AA62" i="53"/>
  <c r="AB62" i="53"/>
  <c r="AC62" i="53"/>
  <c r="AD62" i="53"/>
  <c r="AE62" i="53"/>
  <c r="AF62" i="53"/>
  <c r="AG62" i="53"/>
  <c r="H83" i="54"/>
  <c r="Q58" i="54"/>
  <c r="V53" i="54"/>
  <c r="S53" i="54"/>
  <c r="R53" i="54"/>
  <c r="Q53" i="54"/>
  <c r="O53" i="54"/>
  <c r="N53" i="54"/>
  <c r="K53" i="54"/>
  <c r="J53" i="54"/>
  <c r="I53" i="54"/>
  <c r="M53" i="54"/>
  <c r="H53" i="54"/>
  <c r="G53" i="54"/>
  <c r="AD51" i="54"/>
  <c r="AD50" i="54"/>
  <c r="AD49" i="54"/>
  <c r="AD48" i="54"/>
  <c r="AD47" i="54"/>
  <c r="AD46" i="54"/>
  <c r="AD45" i="54"/>
  <c r="AD44" i="54"/>
  <c r="AD43" i="54"/>
  <c r="AD42" i="54"/>
  <c r="AD41" i="54"/>
  <c r="AD40" i="54"/>
  <c r="AD39" i="54"/>
  <c r="AD38" i="54"/>
  <c r="AD37" i="54"/>
  <c r="AD24" i="54"/>
  <c r="AD23" i="54"/>
  <c r="AD22" i="54"/>
  <c r="AD21" i="54"/>
  <c r="AD16" i="54"/>
  <c r="AD12" i="54"/>
  <c r="AD10" i="54"/>
  <c r="AD8" i="54"/>
  <c r="AD6" i="54"/>
  <c r="J97" i="37" l="1"/>
  <c r="J178" i="37" s="1"/>
  <c r="I110" i="37"/>
  <c r="I176" i="37"/>
  <c r="I189" i="37" s="1"/>
  <c r="I109" i="37"/>
  <c r="I175" i="37"/>
  <c r="I188" i="37" s="1"/>
  <c r="K104" i="37"/>
  <c r="K101" i="37"/>
  <c r="K175" i="37" s="1"/>
  <c r="M101" i="37"/>
  <c r="K93" i="37"/>
  <c r="K97" i="37" s="1"/>
  <c r="K178" i="37" s="1"/>
  <c r="K181" i="37"/>
  <c r="J110" i="37" l="1"/>
  <c r="J109" i="37"/>
  <c r="K188" i="37"/>
  <c r="M93" i="37"/>
  <c r="J189" i="37"/>
  <c r="J188" i="37"/>
  <c r="M104" i="37"/>
  <c r="K176" i="37"/>
  <c r="K189" i="37" s="1"/>
  <c r="M97" i="37"/>
  <c r="K109" i="37"/>
  <c r="M109" i="37" s="1"/>
  <c r="K110" i="37"/>
  <c r="M110" i="37" l="1"/>
  <c r="C7" i="31"/>
  <c r="C9" i="31"/>
  <c r="R6" i="53"/>
  <c r="C10" i="31"/>
  <c r="D29" i="31"/>
  <c r="D28" i="31"/>
  <c r="L92" i="53"/>
  <c r="P7" i="53"/>
  <c r="D27" i="31"/>
  <c r="D30" i="31"/>
  <c r="D31" i="31"/>
  <c r="D32" i="31"/>
  <c r="D33" i="31"/>
  <c r="C14" i="31" l="1"/>
  <c r="C15" i="31"/>
  <c r="C8" i="31"/>
  <c r="C20" i="31"/>
  <c r="C16" i="31"/>
  <c r="AF7" i="53"/>
  <c r="AF6" i="53"/>
  <c r="AE7" i="53"/>
  <c r="AE6" i="53"/>
  <c r="AE8" i="53" s="1"/>
  <c r="AE9" i="53" s="1"/>
  <c r="AD7" i="53"/>
  <c r="AD6" i="53"/>
  <c r="AC7" i="53"/>
  <c r="AC6" i="53"/>
  <c r="AC8" i="53" s="1"/>
  <c r="AC9" i="53" s="1"/>
  <c r="AB7" i="53"/>
  <c r="AB6" i="53"/>
  <c r="AA7" i="53"/>
  <c r="AA6" i="53"/>
  <c r="Z7" i="53"/>
  <c r="Z6" i="53"/>
  <c r="Y7" i="53"/>
  <c r="Y6" i="53"/>
  <c r="X7" i="53"/>
  <c r="X6" i="53"/>
  <c r="X8" i="53" s="1"/>
  <c r="X9" i="53" s="1"/>
  <c r="W7" i="53"/>
  <c r="W6" i="53"/>
  <c r="V7" i="53"/>
  <c r="V6" i="53"/>
  <c r="U6" i="53"/>
  <c r="U7" i="53"/>
  <c r="F22" i="46"/>
  <c r="G22" i="46"/>
  <c r="E22" i="46"/>
  <c r="T7" i="53"/>
  <c r="T6" i="53"/>
  <c r="S7" i="53"/>
  <c r="S6" i="53"/>
  <c r="R7" i="53"/>
  <c r="P6" i="53"/>
  <c r="P8" i="53" s="1"/>
  <c r="P9" i="53" s="1"/>
  <c r="N7" i="53"/>
  <c r="N6" i="53"/>
  <c r="O7" i="53"/>
  <c r="O6" i="53"/>
  <c r="M7" i="53"/>
  <c r="M6" i="53"/>
  <c r="Q7" i="53"/>
  <c r="Q6" i="53"/>
  <c r="L7" i="53"/>
  <c r="L6" i="53"/>
  <c r="K7" i="53"/>
  <c r="K6" i="53"/>
  <c r="J7" i="53"/>
  <c r="J6" i="53"/>
  <c r="J8" i="53" s="1"/>
  <c r="J9" i="53" s="1"/>
  <c r="I7" i="53"/>
  <c r="I6" i="53"/>
  <c r="G28" i="46"/>
  <c r="G29" i="46"/>
  <c r="G30" i="46"/>
  <c r="G31" i="46"/>
  <c r="F31" i="46"/>
  <c r="F30" i="46"/>
  <c r="F29" i="46"/>
  <c r="F28" i="46"/>
  <c r="G16" i="46"/>
  <c r="G17" i="46"/>
  <c r="G18" i="46"/>
  <c r="F18" i="46"/>
  <c r="F17" i="46"/>
  <c r="F16" i="46"/>
  <c r="O8" i="53" l="1"/>
  <c r="O9" i="53" s="1"/>
  <c r="M8" i="53"/>
  <c r="M9" i="53" s="1"/>
  <c r="W8" i="53"/>
  <c r="W9" i="53" s="1"/>
  <c r="U8" i="53"/>
  <c r="U9" i="53" s="1"/>
  <c r="T8" i="53"/>
  <c r="S8" i="53"/>
  <c r="R8" i="53"/>
  <c r="AD8" i="53"/>
  <c r="AD9" i="53" s="1"/>
  <c r="Z8" i="53"/>
  <c r="Z9" i="53" s="1"/>
  <c r="L8" i="53"/>
  <c r="L9" i="53" s="1"/>
  <c r="AB8" i="53"/>
  <c r="AB9" i="53" s="1"/>
  <c r="K8" i="53"/>
  <c r="K9" i="53" s="1"/>
  <c r="Q8" i="53"/>
  <c r="Q9" i="53" s="1"/>
  <c r="Q10" i="53" s="1"/>
  <c r="V8" i="53"/>
  <c r="V9" i="53" s="1"/>
  <c r="Y8" i="53"/>
  <c r="Y9" i="53" s="1"/>
  <c r="AA8" i="53"/>
  <c r="AA9" i="53" s="1"/>
  <c r="N8" i="53"/>
  <c r="N9" i="53" s="1"/>
  <c r="AF8" i="53"/>
  <c r="AF9" i="53" s="1"/>
  <c r="R9" i="53" l="1"/>
  <c r="R10" i="53" s="1"/>
  <c r="S9" i="53"/>
  <c r="S10" i="53" s="1"/>
  <c r="T9" i="53"/>
  <c r="T10" i="53" s="1"/>
  <c r="P10" i="53"/>
  <c r="W10" i="53"/>
  <c r="U10" i="53"/>
  <c r="O10" i="53"/>
  <c r="Y10" i="53"/>
  <c r="L10" i="53"/>
  <c r="N10" i="53"/>
  <c r="AA10" i="53"/>
  <c r="Z10" i="53"/>
  <c r="J10" i="53"/>
  <c r="AC10" i="53"/>
  <c r="AB10" i="53"/>
  <c r="M10" i="53"/>
  <c r="V10" i="53"/>
  <c r="X10" i="53"/>
  <c r="K10" i="53"/>
  <c r="L4" i="53" l="1"/>
  <c r="G37" i="53"/>
  <c r="I21" i="31"/>
  <c r="I20" i="31"/>
  <c r="I19" i="31"/>
  <c r="I18" i="31"/>
  <c r="AD10" i="53" l="1"/>
  <c r="AE10" i="53"/>
  <c r="AF10" i="53"/>
  <c r="U67" i="53"/>
  <c r="E37" i="53"/>
  <c r="E17" i="53"/>
  <c r="E12" i="53"/>
  <c r="D17" i="53"/>
  <c r="D12" i="53"/>
  <c r="D62" i="53"/>
  <c r="AH60" i="53"/>
  <c r="AH59" i="53"/>
  <c r="AH58" i="53"/>
  <c r="AH56" i="53"/>
  <c r="AH55" i="53"/>
  <c r="AH54" i="53"/>
  <c r="AH53" i="53"/>
  <c r="AH52" i="53"/>
  <c r="AH51" i="53"/>
  <c r="AH50" i="53"/>
  <c r="AH49" i="53"/>
  <c r="AH48" i="53"/>
  <c r="AH47" i="53"/>
  <c r="AH46" i="53"/>
  <c r="AH33" i="53"/>
  <c r="AH32" i="53"/>
  <c r="AH31" i="53"/>
  <c r="AH30" i="53"/>
  <c r="AH28" i="53"/>
  <c r="AH27" i="53"/>
  <c r="AH26" i="53"/>
  <c r="AH25" i="53"/>
  <c r="AH24" i="53"/>
  <c r="AH21" i="53"/>
  <c r="AH19" i="53"/>
  <c r="AH17" i="53"/>
  <c r="AH15" i="53"/>
  <c r="Q62" i="53" l="1"/>
  <c r="L3" i="53"/>
  <c r="AH10" i="53"/>
  <c r="AH57" i="53"/>
  <c r="Q1" i="53"/>
  <c r="G19" i="34"/>
  <c r="AH12" i="53" l="1"/>
  <c r="G169" i="34" l="1"/>
  <c r="H31" i="34" l="1"/>
  <c r="G30" i="34"/>
  <c r="G32" i="34"/>
  <c r="I35" i="34" l="1"/>
  <c r="H35" i="34"/>
  <c r="G31" i="34"/>
  <c r="G35" i="34" s="1"/>
  <c r="F85" i="34" l="1"/>
  <c r="H227" i="34"/>
  <c r="G18" i="58" s="1"/>
  <c r="F229" i="34"/>
  <c r="M229" i="34" s="1"/>
  <c r="I94" i="34"/>
  <c r="J94" i="34" s="1"/>
  <c r="F226" i="34"/>
  <c r="H9" i="31"/>
  <c r="H229" i="34"/>
  <c r="I227" i="34"/>
  <c r="H18" i="58" s="1"/>
  <c r="J227" i="34"/>
  <c r="K227" i="34"/>
  <c r="I86" i="34"/>
  <c r="J86" i="34" s="1"/>
  <c r="K86" i="34" s="1"/>
  <c r="H87" i="34"/>
  <c r="H226" i="34" s="1"/>
  <c r="G229" i="34"/>
  <c r="G226" i="34"/>
  <c r="G228" i="34"/>
  <c r="F19" i="58" s="1"/>
  <c r="G227" i="34"/>
  <c r="F18" i="58" s="1"/>
  <c r="G72" i="34"/>
  <c r="G97" i="34" s="1"/>
  <c r="H37" i="51"/>
  <c r="H35" i="51"/>
  <c r="V34" i="51"/>
  <c r="W33" i="51" s="1"/>
  <c r="I34" i="51"/>
  <c r="G34" i="51"/>
  <c r="G35" i="51" s="1"/>
  <c r="F34" i="51"/>
  <c r="F35" i="51" s="1"/>
  <c r="E34" i="51"/>
  <c r="E35" i="51" s="1"/>
  <c r="D34" i="51"/>
  <c r="D35" i="51" s="1"/>
  <c r="B34" i="51"/>
  <c r="L33" i="51"/>
  <c r="M33" i="51" s="1"/>
  <c r="W32" i="51"/>
  <c r="L32" i="51"/>
  <c r="M32" i="51" s="1"/>
  <c r="L30" i="51"/>
  <c r="M30" i="51" s="1"/>
  <c r="W29" i="51"/>
  <c r="L29" i="51"/>
  <c r="M29" i="51" s="1"/>
  <c r="L28" i="51"/>
  <c r="M28" i="51" s="1"/>
  <c r="C28" i="51"/>
  <c r="L27" i="51"/>
  <c r="L26" i="51"/>
  <c r="W25" i="51"/>
  <c r="M25" i="51"/>
  <c r="L25" i="51"/>
  <c r="G25" i="51"/>
  <c r="D25" i="51"/>
  <c r="C25" i="51"/>
  <c r="B25" i="51"/>
  <c r="P24" i="51"/>
  <c r="L24" i="51"/>
  <c r="M24" i="51" s="1"/>
  <c r="L23" i="51"/>
  <c r="M23" i="51" s="1"/>
  <c r="S22" i="51"/>
  <c r="C20" i="51" s="1"/>
  <c r="P22" i="51"/>
  <c r="M22" i="51"/>
  <c r="L22" i="51"/>
  <c r="H22" i="51"/>
  <c r="H34" i="51" s="1"/>
  <c r="M21" i="51"/>
  <c r="L21" i="51"/>
  <c r="X19" i="51"/>
  <c r="V19" i="51"/>
  <c r="L19" i="51"/>
  <c r="M19" i="51" s="1"/>
  <c r="G19" i="51"/>
  <c r="F19" i="51"/>
  <c r="E19" i="51"/>
  <c r="Y18" i="51"/>
  <c r="Z18" i="51" s="1"/>
  <c r="L18" i="51"/>
  <c r="I18" i="51"/>
  <c r="L17" i="51"/>
  <c r="Y16" i="51"/>
  <c r="Z16" i="51" s="1"/>
  <c r="W16" i="51"/>
  <c r="L16" i="51"/>
  <c r="Y15" i="51"/>
  <c r="Z15" i="51" s="1"/>
  <c r="W15" i="51"/>
  <c r="M15" i="51"/>
  <c r="L15" i="51"/>
  <c r="E15" i="51"/>
  <c r="Y14" i="51"/>
  <c r="Z14" i="51" s="1"/>
  <c r="W14" i="51"/>
  <c r="M14" i="51"/>
  <c r="L14" i="51"/>
  <c r="I14" i="51"/>
  <c r="G14" i="51"/>
  <c r="E14" i="51"/>
  <c r="Y13" i="51"/>
  <c r="Z13" i="51" s="1"/>
  <c r="W13" i="51"/>
  <c r="L13" i="51"/>
  <c r="M13" i="51" s="1"/>
  <c r="Z12" i="51"/>
  <c r="Y12" i="51"/>
  <c r="W12" i="51"/>
  <c r="L12" i="51"/>
  <c r="M12" i="51" s="1"/>
  <c r="Z11" i="51"/>
  <c r="Y11" i="51"/>
  <c r="W11" i="51"/>
  <c r="M11" i="51"/>
  <c r="L11" i="51"/>
  <c r="Y10" i="51"/>
  <c r="Z10" i="51" s="1"/>
  <c r="W10" i="51"/>
  <c r="L10" i="51"/>
  <c r="M10" i="51" s="1"/>
  <c r="Y9" i="51"/>
  <c r="Z9" i="51" s="1"/>
  <c r="W9" i="51"/>
  <c r="M9" i="51"/>
  <c r="L9" i="51"/>
  <c r="Y7" i="51"/>
  <c r="Z7" i="51" s="1"/>
  <c r="W7" i="51"/>
  <c r="L7" i="51"/>
  <c r="I7" i="51"/>
  <c r="Y6" i="51"/>
  <c r="Z6" i="51" s="1"/>
  <c r="W6" i="51"/>
  <c r="L6" i="51"/>
  <c r="M6" i="51" s="1"/>
  <c r="Y5" i="51"/>
  <c r="Z5" i="51" s="1"/>
  <c r="W5" i="51"/>
  <c r="L5" i="51"/>
  <c r="Z4" i="51"/>
  <c r="Y4" i="51"/>
  <c r="Y19" i="51" s="1"/>
  <c r="W4" i="51"/>
  <c r="W19" i="51" s="1"/>
  <c r="M4" i="51"/>
  <c r="L4" i="51"/>
  <c r="W3" i="51"/>
  <c r="M3" i="51"/>
  <c r="L3" i="51"/>
  <c r="G263" i="34" l="1"/>
  <c r="G252" i="34"/>
  <c r="F20" i="58" s="1"/>
  <c r="F227" i="34"/>
  <c r="F238" i="34" s="1"/>
  <c r="F97" i="34"/>
  <c r="M228" i="34"/>
  <c r="M226" i="34"/>
  <c r="K94" i="34"/>
  <c r="M94" i="34" s="1"/>
  <c r="Z19" i="51"/>
  <c r="C34" i="51"/>
  <c r="L20" i="51"/>
  <c r="M20" i="51" s="1"/>
  <c r="W30" i="51"/>
  <c r="M227" i="34" l="1"/>
  <c r="C35" i="51"/>
  <c r="L34" i="51"/>
  <c r="M34" i="51" s="1"/>
  <c r="R148" i="34" l="1"/>
  <c r="R149" i="34"/>
  <c r="F42" i="46"/>
  <c r="G189" i="34" s="1"/>
  <c r="G42" i="46"/>
  <c r="E42" i="46"/>
  <c r="F41" i="46"/>
  <c r="G145" i="34" s="1"/>
  <c r="G41" i="46"/>
  <c r="E41" i="46"/>
  <c r="G190" i="34"/>
  <c r="G171" i="34"/>
  <c r="R146" i="34"/>
  <c r="G154" i="34" l="1"/>
  <c r="Q148" i="34" s="1"/>
  <c r="G178" i="34"/>
  <c r="G163" i="34"/>
  <c r="I207" i="34"/>
  <c r="K207" i="34"/>
  <c r="G205" i="34"/>
  <c r="G195" i="34"/>
  <c r="G185" i="34"/>
  <c r="G187" i="34" s="1"/>
  <c r="G174" i="34"/>
  <c r="G176" i="34" s="1"/>
  <c r="M20" i="34"/>
  <c r="H169" i="34"/>
  <c r="R140" i="34"/>
  <c r="G197" i="34" l="1"/>
  <c r="I169" i="34"/>
  <c r="J169" i="34" s="1"/>
  <c r="K169" i="34" s="1"/>
  <c r="G168" i="34" l="1"/>
  <c r="G159" i="34"/>
  <c r="G161" i="34" s="1"/>
  <c r="G150" i="34"/>
  <c r="G152" i="34" s="1"/>
  <c r="G141" i="34"/>
  <c r="B10" i="34"/>
  <c r="F43" i="46"/>
  <c r="G43" i="46"/>
  <c r="B6" i="34" s="1"/>
  <c r="F44" i="46"/>
  <c r="B8" i="34" s="1"/>
  <c r="G44" i="46"/>
  <c r="G45" i="46"/>
  <c r="F46" i="46"/>
  <c r="G46" i="46"/>
  <c r="E46" i="46"/>
  <c r="E45" i="46"/>
  <c r="E44" i="46"/>
  <c r="E43" i="46"/>
  <c r="G99" i="34"/>
  <c r="I15" i="54" l="1"/>
  <c r="I20" i="54" s="1"/>
  <c r="M29" i="53" s="1"/>
  <c r="M62" i="53" s="1"/>
  <c r="F15" i="54"/>
  <c r="L15" i="54"/>
  <c r="L20" i="54" s="1"/>
  <c r="P29" i="53" s="1"/>
  <c r="P62" i="53" s="1"/>
  <c r="K15" i="54"/>
  <c r="K20" i="54" s="1"/>
  <c r="O29" i="53" s="1"/>
  <c r="O62" i="53" s="1"/>
  <c r="J15" i="54"/>
  <c r="J20" i="54" s="1"/>
  <c r="N29" i="53" s="1"/>
  <c r="N62" i="53" s="1"/>
  <c r="H15" i="54"/>
  <c r="H20" i="54" s="1"/>
  <c r="L29" i="53" s="1"/>
  <c r="L62" i="53" s="1"/>
  <c r="G15" i="54"/>
  <c r="G20" i="54" s="1"/>
  <c r="K29" i="53" s="1"/>
  <c r="K62" i="53" s="1"/>
  <c r="B3" i="34"/>
  <c r="G199" i="34"/>
  <c r="Q149" i="34" s="1"/>
  <c r="G143" i="34"/>
  <c r="G213" i="34"/>
  <c r="G170" i="34"/>
  <c r="G172" i="34" s="1"/>
  <c r="F20" i="54" l="1"/>
  <c r="F53" i="54"/>
  <c r="AD15" i="54"/>
  <c r="H74" i="34"/>
  <c r="H66" i="34"/>
  <c r="J29" i="53" l="1"/>
  <c r="AD20" i="54"/>
  <c r="Q140" i="34"/>
  <c r="H79" i="34"/>
  <c r="H251" i="34" s="1"/>
  <c r="I89" i="34"/>
  <c r="H82" i="34"/>
  <c r="H81" i="34"/>
  <c r="H80" i="34"/>
  <c r="H248" i="34" s="1"/>
  <c r="G16" i="58" s="1"/>
  <c r="I29" i="38"/>
  <c r="M64" i="34"/>
  <c r="L23" i="40"/>
  <c r="M23" i="40"/>
  <c r="K23" i="40"/>
  <c r="J62" i="53" l="1"/>
  <c r="J63" i="53" s="1"/>
  <c r="AH29" i="53"/>
  <c r="J89" i="34"/>
  <c r="H171" i="34"/>
  <c r="M61" i="34"/>
  <c r="K89" i="34" l="1"/>
  <c r="J35" i="40"/>
  <c r="J36" i="40" s="1"/>
  <c r="K29" i="40"/>
  <c r="J29" i="40"/>
  <c r="H29" i="40"/>
  <c r="F29" i="40"/>
  <c r="K28" i="40"/>
  <c r="J28" i="40"/>
  <c r="J30" i="40" s="1"/>
  <c r="H28" i="40"/>
  <c r="F28" i="40"/>
  <c r="F30" i="40" s="1"/>
  <c r="L19" i="40"/>
  <c r="H30" i="40" l="1"/>
  <c r="I28" i="40" s="1"/>
  <c r="I29" i="40"/>
  <c r="J207" i="34"/>
  <c r="H207" i="34"/>
  <c r="G29" i="40"/>
  <c r="L29" i="40" s="1"/>
  <c r="G28" i="40"/>
  <c r="G63" i="34"/>
  <c r="G207" i="34" s="1"/>
  <c r="H37" i="36"/>
  <c r="I37" i="36"/>
  <c r="J37" i="36"/>
  <c r="G37" i="36"/>
  <c r="J36" i="36"/>
  <c r="I36" i="36"/>
  <c r="I35" i="36"/>
  <c r="H36" i="36"/>
  <c r="H35" i="36"/>
  <c r="G36" i="36"/>
  <c r="G35" i="36"/>
  <c r="F36" i="36"/>
  <c r="F35" i="36"/>
  <c r="F29" i="36"/>
  <c r="L87" i="38"/>
  <c r="K87" i="38"/>
  <c r="J87" i="38"/>
  <c r="I87" i="38"/>
  <c r="H87" i="38"/>
  <c r="E87" i="38"/>
  <c r="L86" i="38"/>
  <c r="K86" i="38"/>
  <c r="J86" i="38"/>
  <c r="I86" i="38"/>
  <c r="H86" i="38"/>
  <c r="E86" i="38"/>
  <c r="L85" i="38"/>
  <c r="K85" i="38"/>
  <c r="J85" i="38"/>
  <c r="E85" i="38"/>
  <c r="L84" i="38"/>
  <c r="K84" i="38"/>
  <c r="J84" i="38"/>
  <c r="H84" i="38"/>
  <c r="E84" i="38"/>
  <c r="L83" i="38"/>
  <c r="K83" i="38"/>
  <c r="J83" i="38"/>
  <c r="E83" i="38"/>
  <c r="L82" i="38"/>
  <c r="K82" i="38"/>
  <c r="K89" i="38" s="1"/>
  <c r="J82" i="38"/>
  <c r="I82" i="38"/>
  <c r="E82" i="38"/>
  <c r="E72" i="38"/>
  <c r="E71" i="38"/>
  <c r="E70" i="38"/>
  <c r="E69" i="38"/>
  <c r="E68" i="38"/>
  <c r="H38" i="38"/>
  <c r="H34" i="38" s="1"/>
  <c r="P34" i="38"/>
  <c r="I36" i="38" s="1"/>
  <c r="L34" i="38"/>
  <c r="L72" i="38" s="1"/>
  <c r="K34" i="38"/>
  <c r="K72" i="38" s="1"/>
  <c r="J34" i="38"/>
  <c r="J72" i="38" s="1"/>
  <c r="H30" i="38"/>
  <c r="H85" i="38" s="1"/>
  <c r="I26" i="38"/>
  <c r="I71" i="38" s="1"/>
  <c r="H82" i="38"/>
  <c r="L26" i="38"/>
  <c r="L71" i="38" s="1"/>
  <c r="K26" i="38"/>
  <c r="K71" i="38" s="1"/>
  <c r="J26" i="38"/>
  <c r="J71" i="38" s="1"/>
  <c r="I18" i="38"/>
  <c r="I70" i="38" s="1"/>
  <c r="H18" i="38"/>
  <c r="H70" i="38" s="1"/>
  <c r="L18" i="38"/>
  <c r="L70" i="38" s="1"/>
  <c r="K18" i="38"/>
  <c r="K70" i="38" s="1"/>
  <c r="J18" i="38"/>
  <c r="J70" i="38" s="1"/>
  <c r="P12" i="38"/>
  <c r="P11" i="38"/>
  <c r="I13" i="38" s="1"/>
  <c r="L10" i="38"/>
  <c r="K10" i="38"/>
  <c r="K69" i="38" s="1"/>
  <c r="J10" i="38"/>
  <c r="J69" i="38" s="1"/>
  <c r="L42" i="38"/>
  <c r="K42" i="38"/>
  <c r="J42" i="38"/>
  <c r="I42" i="38"/>
  <c r="H42" i="38"/>
  <c r="L89" i="38" l="1"/>
  <c r="J89" i="38"/>
  <c r="L68" i="38"/>
  <c r="L46" i="38"/>
  <c r="N86" i="38"/>
  <c r="J46" i="38"/>
  <c r="K46" i="38"/>
  <c r="N42" i="38"/>
  <c r="H68" i="38"/>
  <c r="N82" i="38"/>
  <c r="I83" i="38"/>
  <c r="N87" i="38"/>
  <c r="H83" i="38"/>
  <c r="I34" i="38"/>
  <c r="Q147" i="34"/>
  <c r="R147" i="34"/>
  <c r="L28" i="40"/>
  <c r="F34" i="40" s="1"/>
  <c r="M63" i="34"/>
  <c r="I14" i="38"/>
  <c r="I85" i="38" s="1"/>
  <c r="N85" i="38" s="1"/>
  <c r="I35" i="40"/>
  <c r="F35" i="40"/>
  <c r="N18" i="38"/>
  <c r="H72" i="38"/>
  <c r="N70" i="38"/>
  <c r="J68" i="38"/>
  <c r="J73" i="38" s="1"/>
  <c r="K68" i="38"/>
  <c r="K73" i="38" s="1"/>
  <c r="H10" i="38"/>
  <c r="I68" i="38"/>
  <c r="H26" i="38"/>
  <c r="L69" i="38"/>
  <c r="L73" i="38" s="1"/>
  <c r="H46" i="38" l="1"/>
  <c r="N83" i="38"/>
  <c r="H89" i="38"/>
  <c r="I72" i="38"/>
  <c r="N72" i="38" s="1"/>
  <c r="N34" i="38"/>
  <c r="I34" i="40"/>
  <c r="I10" i="38"/>
  <c r="G35" i="40"/>
  <c r="H35" i="40" s="1"/>
  <c r="I36" i="40"/>
  <c r="G34" i="40"/>
  <c r="F36" i="40"/>
  <c r="H69" i="38"/>
  <c r="N68" i="38"/>
  <c r="N26" i="38"/>
  <c r="H71" i="38"/>
  <c r="N71" i="38" s="1"/>
  <c r="N84" i="38" l="1"/>
  <c r="I89" i="38"/>
  <c r="N89" i="38" s="1"/>
  <c r="I69" i="38"/>
  <c r="I73" i="38" s="1"/>
  <c r="I46" i="38"/>
  <c r="N46" i="38" s="1"/>
  <c r="N10" i="38"/>
  <c r="G36" i="40"/>
  <c r="G60" i="34"/>
  <c r="H34" i="40"/>
  <c r="H36" i="40"/>
  <c r="H73" i="38"/>
  <c r="H60" i="34" l="1"/>
  <c r="I60" i="34" s="1"/>
  <c r="J60" i="34" s="1"/>
  <c r="K60" i="34" s="1"/>
  <c r="N69" i="38"/>
  <c r="N73" i="38"/>
  <c r="R145" i="34"/>
  <c r="G68" i="34"/>
  <c r="Q139" i="34"/>
  <c r="W15" i="31"/>
  <c r="X15" i="31" s="1"/>
  <c r="G102" i="34" l="1"/>
  <c r="G247" i="34"/>
  <c r="M85" i="34"/>
  <c r="M60" i="34" l="1"/>
  <c r="K29" i="36"/>
  <c r="J30" i="36"/>
  <c r="J29" i="36"/>
  <c r="J31" i="36" s="1"/>
  <c r="H29" i="36"/>
  <c r="F37" i="36"/>
  <c r="K30" i="36"/>
  <c r="H30" i="36"/>
  <c r="F30" i="36"/>
  <c r="L20" i="36"/>
  <c r="H72" i="37"/>
  <c r="H71" i="37"/>
  <c r="I70" i="37"/>
  <c r="I71" i="37" l="1"/>
  <c r="J71" i="37" s="1"/>
  <c r="K71" i="37" s="1"/>
  <c r="I72" i="37"/>
  <c r="J72" i="37" s="1"/>
  <c r="K72" i="37" s="1"/>
  <c r="J70" i="37"/>
  <c r="K70" i="37" s="1"/>
  <c r="F31" i="36"/>
  <c r="G30" i="36" s="1"/>
  <c r="H31" i="36"/>
  <c r="I29" i="36" s="1"/>
  <c r="M71" i="37" l="1"/>
  <c r="M70" i="37"/>
  <c r="M72" i="37"/>
  <c r="M69" i="37"/>
  <c r="G29" i="36"/>
  <c r="L29" i="36" s="1"/>
  <c r="I30" i="36"/>
  <c r="L30" i="36" s="1"/>
  <c r="G68" i="37" l="1"/>
  <c r="G92" i="37" l="1"/>
  <c r="H68" i="37"/>
  <c r="G64" i="37"/>
  <c r="F64" i="37"/>
  <c r="F92" i="37"/>
  <c r="G25" i="37"/>
  <c r="H25" i="37" s="1"/>
  <c r="I25" i="37" s="1"/>
  <c r="J25" i="37" s="1"/>
  <c r="K25" i="37" s="1"/>
  <c r="G20" i="37"/>
  <c r="H20" i="37" s="1"/>
  <c r="I20" i="37" s="1"/>
  <c r="J20" i="37" s="1"/>
  <c r="K20" i="37" s="1"/>
  <c r="G7" i="37"/>
  <c r="G24" i="37" s="1"/>
  <c r="G3" i="37"/>
  <c r="H3" i="37" s="1"/>
  <c r="I3" i="37" s="1"/>
  <c r="J3" i="37" s="1"/>
  <c r="K3" i="37" s="1"/>
  <c r="G2" i="37"/>
  <c r="E36" i="37"/>
  <c r="F26" i="37"/>
  <c r="F21" i="37"/>
  <c r="H10" i="37"/>
  <c r="H8" i="37"/>
  <c r="I8" i="37" s="1"/>
  <c r="J8" i="37" s="1"/>
  <c r="K8" i="37" s="1"/>
  <c r="S1" i="37"/>
  <c r="H25" i="34"/>
  <c r="I25" i="34" s="1"/>
  <c r="G7" i="34"/>
  <c r="G24" i="34" s="1"/>
  <c r="H8" i="34"/>
  <c r="I8" i="34" s="1"/>
  <c r="J8" i="34" s="1"/>
  <c r="K8" i="34" s="1"/>
  <c r="H78" i="34"/>
  <c r="H77" i="34"/>
  <c r="I77" i="34" s="1"/>
  <c r="J77" i="34" s="1"/>
  <c r="K77" i="34" s="1"/>
  <c r="H76" i="34"/>
  <c r="I74" i="34"/>
  <c r="H67" i="34"/>
  <c r="H68" i="34" s="1"/>
  <c r="M80" i="34"/>
  <c r="G19" i="37" l="1"/>
  <c r="G21" i="37" s="1"/>
  <c r="G135" i="37"/>
  <c r="G96" i="37"/>
  <c r="F41" i="37"/>
  <c r="G199" i="37"/>
  <c r="F17" i="58"/>
  <c r="H247" i="34"/>
  <c r="I78" i="34"/>
  <c r="H252" i="34"/>
  <c r="G20" i="58" s="1"/>
  <c r="K74" i="34"/>
  <c r="K248" i="34" s="1"/>
  <c r="J16" i="58" s="1"/>
  <c r="I248" i="34"/>
  <c r="H16" i="58" s="1"/>
  <c r="H163" i="34"/>
  <c r="H249" i="34"/>
  <c r="H92" i="37"/>
  <c r="H135" i="37" s="1"/>
  <c r="I68" i="37"/>
  <c r="G133" i="37"/>
  <c r="F15" i="58" s="1"/>
  <c r="T1" i="37"/>
  <c r="U1" i="37" s="1"/>
  <c r="V1" i="37" s="1"/>
  <c r="K36" i="37"/>
  <c r="H2" i="37"/>
  <c r="I2" i="37" s="1"/>
  <c r="J2" i="37" s="1"/>
  <c r="K2" i="37" s="1"/>
  <c r="K19" i="37" s="1"/>
  <c r="K21" i="37" s="1"/>
  <c r="H7" i="37"/>
  <c r="I7" i="37" s="1"/>
  <c r="I67" i="34"/>
  <c r="J67" i="34" s="1"/>
  <c r="K67" i="34" s="1"/>
  <c r="H7" i="34"/>
  <c r="I7" i="34" s="1"/>
  <c r="I87" i="34"/>
  <c r="I90" i="34"/>
  <c r="I91" i="34"/>
  <c r="J91" i="34" s="1"/>
  <c r="K91" i="34" s="1"/>
  <c r="M91" i="34" s="1"/>
  <c r="I92" i="34"/>
  <c r="J92" i="34" s="1"/>
  <c r="K92" i="34" s="1"/>
  <c r="I93" i="34"/>
  <c r="J93" i="34" s="1"/>
  <c r="K93" i="34" s="1"/>
  <c r="I95" i="34"/>
  <c r="J95" i="34" s="1"/>
  <c r="K95" i="34" s="1"/>
  <c r="G103" i="34"/>
  <c r="M63" i="37"/>
  <c r="M60" i="37"/>
  <c r="I10" i="37"/>
  <c r="M62" i="37"/>
  <c r="J25" i="34"/>
  <c r="I76" i="34"/>
  <c r="I249" i="34" s="1"/>
  <c r="M81" i="34"/>
  <c r="M82" i="34"/>
  <c r="M77" i="34"/>
  <c r="G246" i="34"/>
  <c r="G98" i="37" l="1"/>
  <c r="G132" i="37"/>
  <c r="G17" i="58"/>
  <c r="H199" i="37"/>
  <c r="M248" i="34"/>
  <c r="M251" i="34"/>
  <c r="M249" i="34"/>
  <c r="M250" i="34"/>
  <c r="M247" i="34"/>
  <c r="M252" i="34"/>
  <c r="H19" i="37"/>
  <c r="H21" i="37" s="1"/>
  <c r="I19" i="37"/>
  <c r="I21" i="37" s="1"/>
  <c r="J78" i="34"/>
  <c r="I252" i="34"/>
  <c r="H20" i="58" s="1"/>
  <c r="J68" i="37"/>
  <c r="I92" i="37"/>
  <c r="I135" i="37" s="1"/>
  <c r="J19" i="37"/>
  <c r="J21" i="37" s="1"/>
  <c r="K39" i="37"/>
  <c r="G223" i="34"/>
  <c r="G104" i="34"/>
  <c r="J90" i="34"/>
  <c r="I229" i="34"/>
  <c r="J87" i="34"/>
  <c r="I226" i="34"/>
  <c r="J76" i="34"/>
  <c r="J249" i="34" s="1"/>
  <c r="I163" i="34"/>
  <c r="H24" i="34"/>
  <c r="H64" i="37"/>
  <c r="I97" i="34"/>
  <c r="M95" i="34"/>
  <c r="M92" i="34"/>
  <c r="M89" i="34"/>
  <c r="M93" i="34"/>
  <c r="M61" i="37"/>
  <c r="J10" i="37"/>
  <c r="J7" i="37"/>
  <c r="J7" i="34"/>
  <c r="I24" i="34"/>
  <c r="K25" i="34"/>
  <c r="F14" i="58" l="1"/>
  <c r="H133" i="37"/>
  <c r="G15" i="58" s="1"/>
  <c r="H96" i="37"/>
  <c r="H132" i="37" s="1"/>
  <c r="H17" i="58"/>
  <c r="K78" i="34"/>
  <c r="J252" i="34"/>
  <c r="I20" i="58" s="1"/>
  <c r="K68" i="37"/>
  <c r="K92" i="37" s="1"/>
  <c r="K135" i="37" s="1"/>
  <c r="J92" i="37"/>
  <c r="J135" i="37" s="1"/>
  <c r="K87" i="34"/>
  <c r="J226" i="34"/>
  <c r="K90" i="34"/>
  <c r="J229" i="34"/>
  <c r="K76" i="34"/>
  <c r="K249" i="34" s="1"/>
  <c r="J163" i="34"/>
  <c r="I64" i="37"/>
  <c r="I96" i="37" s="1"/>
  <c r="I132" i="37" s="1"/>
  <c r="M65" i="34"/>
  <c r="K7" i="37"/>
  <c r="K10" i="37"/>
  <c r="K7" i="34"/>
  <c r="K24" i="34" s="1"/>
  <c r="J24" i="34"/>
  <c r="M92" i="37" l="1"/>
  <c r="I98" i="37"/>
  <c r="H98" i="37"/>
  <c r="I17" i="58"/>
  <c r="K252" i="34"/>
  <c r="J20" i="58" s="1"/>
  <c r="M78" i="34"/>
  <c r="M68" i="37"/>
  <c r="I133" i="37"/>
  <c r="K229" i="34"/>
  <c r="M90" i="34"/>
  <c r="K226" i="34"/>
  <c r="J17" i="58" s="1"/>
  <c r="M87" i="34"/>
  <c r="K163" i="34"/>
  <c r="M76" i="34"/>
  <c r="K64" i="37"/>
  <c r="J64" i="37"/>
  <c r="J96" i="37" s="1"/>
  <c r="J132" i="37" s="1"/>
  <c r="G36" i="34"/>
  <c r="H36" i="34"/>
  <c r="I36" i="34"/>
  <c r="J36" i="34"/>
  <c r="K36" i="34"/>
  <c r="G3" i="34"/>
  <c r="G2" i="34"/>
  <c r="M73" i="34"/>
  <c r="E33" i="34"/>
  <c r="E31" i="34"/>
  <c r="E30" i="34"/>
  <c r="E29" i="34"/>
  <c r="H135" i="34"/>
  <c r="M64" i="37" l="1"/>
  <c r="J98" i="37"/>
  <c r="K133" i="37"/>
  <c r="K96" i="37"/>
  <c r="K132" i="37" s="1"/>
  <c r="J133" i="37"/>
  <c r="M59" i="37"/>
  <c r="G142" i="34"/>
  <c r="G18" i="34"/>
  <c r="G21" i="34" s="1"/>
  <c r="G206" i="34"/>
  <c r="G196" i="34"/>
  <c r="G198" i="34" s="1"/>
  <c r="G186" i="34"/>
  <c r="G175" i="34"/>
  <c r="G160" i="34"/>
  <c r="G151" i="34"/>
  <c r="H174" i="34"/>
  <c r="H176" i="34" s="1"/>
  <c r="H205" i="34"/>
  <c r="H185" i="34"/>
  <c r="H195" i="34"/>
  <c r="H197" i="34" s="1"/>
  <c r="H3" i="34"/>
  <c r="H168" i="34"/>
  <c r="H170" i="34" s="1"/>
  <c r="H172" i="34" s="1"/>
  <c r="H159" i="34"/>
  <c r="H161" i="34" s="1"/>
  <c r="H141" i="34"/>
  <c r="H150" i="34"/>
  <c r="H152" i="34" s="1"/>
  <c r="M86" i="34"/>
  <c r="G37" i="34"/>
  <c r="K37" i="34"/>
  <c r="K35" i="34"/>
  <c r="J35" i="34"/>
  <c r="J37" i="34"/>
  <c r="I37" i="34"/>
  <c r="H37" i="34"/>
  <c r="H2" i="34"/>
  <c r="J75" i="34"/>
  <c r="J250" i="34" s="1"/>
  <c r="I18" i="58" s="1"/>
  <c r="H19" i="34"/>
  <c r="I135" i="34"/>
  <c r="M67" i="34"/>
  <c r="M96" i="37" l="1"/>
  <c r="K98" i="37"/>
  <c r="G106" i="34"/>
  <c r="G109" i="34"/>
  <c r="H143" i="34"/>
  <c r="H213" i="34"/>
  <c r="G214" i="34"/>
  <c r="I19" i="34"/>
  <c r="H206" i="34"/>
  <c r="H160" i="34"/>
  <c r="H196" i="34"/>
  <c r="H151" i="34"/>
  <c r="H153" i="34" s="1"/>
  <c r="H186" i="34"/>
  <c r="H175" i="34"/>
  <c r="H142" i="34"/>
  <c r="M35" i="34"/>
  <c r="G208" i="34"/>
  <c r="G209" i="34" s="1"/>
  <c r="G188" i="34"/>
  <c r="G200" i="34"/>
  <c r="G177" i="34"/>
  <c r="G179" i="34" s="1"/>
  <c r="G162" i="34"/>
  <c r="G164" i="34" s="1"/>
  <c r="I3" i="34"/>
  <c r="G153" i="34"/>
  <c r="G155" i="34" s="1"/>
  <c r="I174" i="34"/>
  <c r="I176" i="34" s="1"/>
  <c r="I205" i="34"/>
  <c r="I185" i="34"/>
  <c r="I195" i="34"/>
  <c r="I197" i="34" s="1"/>
  <c r="G144" i="34"/>
  <c r="G146" i="34" s="1"/>
  <c r="I168" i="34"/>
  <c r="I170" i="34" s="1"/>
  <c r="I159" i="34"/>
  <c r="I161" i="34" s="1"/>
  <c r="I141" i="34"/>
  <c r="I150" i="34"/>
  <c r="I152" i="34" s="1"/>
  <c r="I2" i="34"/>
  <c r="K75" i="34"/>
  <c r="M79" i="34"/>
  <c r="J135" i="34"/>
  <c r="I66" i="34"/>
  <c r="I68" i="34" s="1"/>
  <c r="G113" i="34" l="1"/>
  <c r="G243" i="34"/>
  <c r="G254" i="34" s="1"/>
  <c r="G114" i="34"/>
  <c r="G244" i="34"/>
  <c r="G255" i="34" s="1"/>
  <c r="M98" i="37"/>
  <c r="I247" i="34"/>
  <c r="H15" i="58" s="1"/>
  <c r="K97" i="34"/>
  <c r="K250" i="34"/>
  <c r="J18" i="58" s="1"/>
  <c r="I143" i="34"/>
  <c r="I213" i="34"/>
  <c r="H214" i="34"/>
  <c r="J19" i="34"/>
  <c r="I206" i="34"/>
  <c r="I196" i="34"/>
  <c r="I186" i="34"/>
  <c r="I151" i="34"/>
  <c r="I153" i="34" s="1"/>
  <c r="I175" i="34"/>
  <c r="I142" i="34"/>
  <c r="I160" i="34"/>
  <c r="I162" i="34" s="1"/>
  <c r="G191" i="34"/>
  <c r="Q145" i="34"/>
  <c r="Q146" i="34"/>
  <c r="H162" i="34"/>
  <c r="J174" i="34"/>
  <c r="J176" i="34" s="1"/>
  <c r="J205" i="34"/>
  <c r="J185" i="34"/>
  <c r="J195" i="34"/>
  <c r="J197" i="34" s="1"/>
  <c r="J3" i="34"/>
  <c r="H144" i="34"/>
  <c r="J168" i="34"/>
  <c r="J170" i="34" s="1"/>
  <c r="J159" i="34"/>
  <c r="J161" i="34" s="1"/>
  <c r="J141" i="34"/>
  <c r="J150" i="34"/>
  <c r="J152" i="34" s="1"/>
  <c r="J2" i="34"/>
  <c r="J66" i="34"/>
  <c r="J68" i="34" s="1"/>
  <c r="J247" i="34" s="1"/>
  <c r="I15" i="58" s="1"/>
  <c r="M75" i="34"/>
  <c r="K135" i="34"/>
  <c r="J143" i="34" l="1"/>
  <c r="J213" i="34"/>
  <c r="I214" i="34"/>
  <c r="K19" i="34"/>
  <c r="J206" i="34"/>
  <c r="J196" i="34"/>
  <c r="J151" i="34"/>
  <c r="J175" i="34"/>
  <c r="J186" i="34"/>
  <c r="J142" i="34"/>
  <c r="J160" i="34"/>
  <c r="J162" i="34" s="1"/>
  <c r="G181" i="34"/>
  <c r="G184" i="34" s="1"/>
  <c r="K174" i="34"/>
  <c r="K176" i="34" s="1"/>
  <c r="K205" i="34"/>
  <c r="K185" i="34"/>
  <c r="K195" i="34"/>
  <c r="K197" i="34" s="1"/>
  <c r="K3" i="34"/>
  <c r="I144" i="34"/>
  <c r="K168" i="34"/>
  <c r="K170" i="34" s="1"/>
  <c r="K141" i="34"/>
  <c r="K150" i="34"/>
  <c r="K152" i="34" s="1"/>
  <c r="K159" i="34"/>
  <c r="K161" i="34" s="1"/>
  <c r="K2" i="34"/>
  <c r="K66" i="34"/>
  <c r="K68" i="34" s="1"/>
  <c r="K247" i="34" s="1"/>
  <c r="J15" i="58" s="1"/>
  <c r="M68" i="34" l="1"/>
  <c r="J214" i="34"/>
  <c r="K143" i="34"/>
  <c r="K213" i="34"/>
  <c r="K186" i="34"/>
  <c r="K206" i="34"/>
  <c r="K196" i="34"/>
  <c r="K151" i="34"/>
  <c r="K153" i="34" s="1"/>
  <c r="K175" i="34"/>
  <c r="K142" i="34"/>
  <c r="K160" i="34"/>
  <c r="K162" i="34" s="1"/>
  <c r="J153" i="34"/>
  <c r="J144" i="34"/>
  <c r="M66" i="34"/>
  <c r="M36" i="34"/>
  <c r="K214" i="34" l="1"/>
  <c r="K144" i="34"/>
  <c r="M37" i="34"/>
  <c r="M72" i="34" l="1"/>
  <c r="I8" i="31" l="1"/>
  <c r="E8" i="31"/>
  <c r="H97" i="34" l="1"/>
  <c r="J74" i="34" l="1"/>
  <c r="J248" i="34" s="1"/>
  <c r="I16" i="58" s="1"/>
  <c r="M74" i="34" l="1"/>
  <c r="J97" i="34"/>
  <c r="H102" i="34"/>
  <c r="H246" i="34" l="1"/>
  <c r="I102" i="34"/>
  <c r="I246" i="34" l="1"/>
  <c r="J102" i="34"/>
  <c r="J246" i="34" l="1"/>
  <c r="K102" i="34"/>
  <c r="M102" i="34" l="1"/>
  <c r="K246" i="34"/>
  <c r="K26" i="34"/>
  <c r="J26" i="34"/>
  <c r="I26" i="34"/>
  <c r="H26" i="34"/>
  <c r="G26" i="34"/>
  <c r="G39" i="34" s="1"/>
  <c r="J110" i="34" l="1"/>
  <c r="J221" i="34" s="1"/>
  <c r="J107" i="34"/>
  <c r="J220" i="34" s="1"/>
  <c r="G110" i="34"/>
  <c r="G107" i="34"/>
  <c r="M28" i="34"/>
  <c r="H110" i="34"/>
  <c r="H221" i="34" s="1"/>
  <c r="H107" i="34"/>
  <c r="H220" i="34" s="1"/>
  <c r="I110" i="34"/>
  <c r="I221" i="34" s="1"/>
  <c r="I107" i="34"/>
  <c r="I220" i="34" s="1"/>
  <c r="K110" i="34"/>
  <c r="K221" i="34" s="1"/>
  <c r="K107" i="34"/>
  <c r="K220" i="34" s="1"/>
  <c r="G40" i="34"/>
  <c r="G115" i="34" l="1"/>
  <c r="G220" i="34"/>
  <c r="G231" i="34" s="1"/>
  <c r="G116" i="34"/>
  <c r="G221" i="34"/>
  <c r="G232" i="34" s="1"/>
  <c r="G108" i="34"/>
  <c r="G117" i="34" s="1"/>
  <c r="M107" i="34"/>
  <c r="M110" i="34"/>
  <c r="G111" i="34"/>
  <c r="G118" i="34" s="1"/>
  <c r="D8" i="31"/>
  <c r="T27" i="24" l="1"/>
  <c r="S23" i="24"/>
  <c r="S24" i="24"/>
  <c r="R33" i="19"/>
  <c r="T28" i="24" l="1"/>
  <c r="S27" i="24"/>
  <c r="S28" i="24" s="1"/>
  <c r="T26" i="24"/>
  <c r="S26" i="24"/>
  <c r="S22" i="24"/>
  <c r="S21" i="24" l="1"/>
  <c r="S14" i="24"/>
  <c r="S18" i="24" l="1"/>
  <c r="S19" i="24"/>
  <c r="S17" i="24"/>
  <c r="S16" i="24"/>
  <c r="S15" i="24"/>
  <c r="S13" i="24"/>
  <c r="S12" i="24"/>
  <c r="S11" i="24"/>
  <c r="S10" i="24"/>
  <c r="S33" i="19" l="1"/>
  <c r="R32" i="19"/>
  <c r="S30" i="19"/>
  <c r="R30" i="19"/>
  <c r="S29" i="19"/>
  <c r="R29" i="19"/>
  <c r="S28" i="19"/>
  <c r="R28" i="19"/>
  <c r="F29" i="10" l="1"/>
  <c r="H29" i="10" s="1"/>
  <c r="F28" i="10"/>
  <c r="H28" i="10" s="1"/>
  <c r="F27" i="10"/>
  <c r="H27" i="10" s="1"/>
  <c r="F26" i="10"/>
  <c r="H26" i="10" s="1"/>
  <c r="U52" i="8" l="1"/>
  <c r="U48" i="8"/>
  <c r="U54" i="8"/>
  <c r="U53" i="8"/>
  <c r="U51" i="8"/>
  <c r="U50" i="8"/>
  <c r="U49" i="8"/>
  <c r="U47" i="8"/>
  <c r="T55" i="8"/>
  <c r="T49" i="8"/>
  <c r="Z36" i="8"/>
  <c r="Z37" i="8"/>
  <c r="Z38" i="8"/>
  <c r="Z39" i="8"/>
  <c r="Z40" i="8"/>
  <c r="Z41" i="8"/>
  <c r="Z42" i="8"/>
  <c r="Z43" i="8"/>
  <c r="Z35" i="8"/>
  <c r="Z44" i="8"/>
  <c r="X44" i="8"/>
  <c r="V44" i="8"/>
  <c r="U14" i="8"/>
  <c r="T14" i="8"/>
  <c r="V13" i="8"/>
  <c r="V12" i="8"/>
  <c r="V11" i="8"/>
  <c r="V10" i="8"/>
  <c r="V9" i="8"/>
  <c r="B157" i="8"/>
  <c r="F153" i="8"/>
  <c r="J151" i="8"/>
  <c r="R150" i="8"/>
  <c r="D150" i="8"/>
  <c r="F150" i="8" s="1"/>
  <c r="F148" i="8"/>
  <c r="B136" i="8"/>
  <c r="F132" i="8"/>
  <c r="J131" i="8"/>
  <c r="F129" i="8"/>
  <c r="F127" i="8"/>
  <c r="B114" i="8"/>
  <c r="F110" i="8"/>
  <c r="J109" i="8"/>
  <c r="R107" i="8"/>
  <c r="D107" i="8"/>
  <c r="F107" i="8" s="1"/>
  <c r="R106" i="8"/>
  <c r="R105" i="8"/>
  <c r="D105" i="8"/>
  <c r="F105" i="8" s="1"/>
  <c r="B93" i="8"/>
  <c r="F89" i="8"/>
  <c r="J88" i="8"/>
  <c r="F86" i="8"/>
  <c r="F84" i="8"/>
  <c r="B72" i="8"/>
  <c r="F68" i="8"/>
  <c r="J67" i="8"/>
  <c r="F65" i="8"/>
  <c r="F63" i="8"/>
  <c r="L56" i="8"/>
  <c r="L52" i="8"/>
  <c r="L49" i="8"/>
  <c r="L46" i="8"/>
  <c r="T54" i="8" s="1"/>
  <c r="L45" i="8"/>
  <c r="L40" i="8"/>
  <c r="P38" i="8"/>
  <c r="P37" i="8"/>
  <c r="N37" i="8"/>
  <c r="M37" i="8"/>
  <c r="L37" i="8"/>
  <c r="T48" i="8" s="1"/>
  <c r="P35" i="8"/>
  <c r="P47" i="8" s="1"/>
  <c r="N35" i="8"/>
  <c r="N47" i="8" s="1"/>
  <c r="M35" i="8"/>
  <c r="M47" i="8" s="1"/>
  <c r="L35" i="8"/>
  <c r="T47" i="8" s="1"/>
  <c r="P33" i="8"/>
  <c r="L32" i="8"/>
  <c r="N30" i="8"/>
  <c r="M30" i="8"/>
  <c r="K30" i="8"/>
  <c r="J30" i="8"/>
  <c r="I30" i="8"/>
  <c r="F30" i="8"/>
  <c r="F28" i="8"/>
  <c r="R27" i="8"/>
  <c r="L27" i="8"/>
  <c r="G14" i="8"/>
  <c r="F14" i="8"/>
  <c r="D14" i="8"/>
  <c r="D23" i="8" s="1"/>
  <c r="F23" i="8" s="1"/>
  <c r="C14" i="8"/>
  <c r="D25" i="8" s="1"/>
  <c r="F25" i="8" s="1"/>
  <c r="H13" i="8"/>
  <c r="I13" i="8" s="1"/>
  <c r="L90" i="8" s="1"/>
  <c r="H12" i="8"/>
  <c r="I12" i="8" s="1"/>
  <c r="L69" i="8" s="1"/>
  <c r="H11" i="8"/>
  <c r="I11" i="8" s="1"/>
  <c r="L111" i="8" s="1"/>
  <c r="H10" i="8"/>
  <c r="I10" i="8" s="1"/>
  <c r="L133" i="8" s="1"/>
  <c r="H9" i="8"/>
  <c r="X13" i="8" l="1"/>
  <c r="X12" i="8"/>
  <c r="X11" i="8"/>
  <c r="X10" i="8"/>
  <c r="X9" i="8"/>
  <c r="X14" i="8" s="1"/>
  <c r="T44" i="8"/>
  <c r="U44" i="8"/>
  <c r="W10" i="8"/>
  <c r="W11" i="8"/>
  <c r="W12" i="8"/>
  <c r="W13" i="8"/>
  <c r="V14" i="8"/>
  <c r="W9" i="8"/>
  <c r="W14" i="8" s="1"/>
  <c r="H14" i="8"/>
  <c r="I9" i="8"/>
  <c r="N133" i="8"/>
  <c r="M133" i="8"/>
  <c r="N111" i="8"/>
  <c r="M111" i="8"/>
  <c r="N69" i="8"/>
  <c r="M69" i="8"/>
  <c r="N90" i="8"/>
  <c r="M90" i="8"/>
  <c r="L25" i="8"/>
  <c r="K25" i="8"/>
  <c r="J25" i="8"/>
  <c r="I25" i="8"/>
  <c r="H25" i="8"/>
  <c r="N25" i="8" s="1"/>
  <c r="G25" i="8"/>
  <c r="M25" i="8" s="1"/>
  <c r="F29" i="8"/>
  <c r="F33" i="8" s="1"/>
  <c r="L23" i="8"/>
  <c r="K23" i="8"/>
  <c r="J23" i="8"/>
  <c r="I23" i="8"/>
  <c r="H23" i="8"/>
  <c r="G23" i="8"/>
  <c r="L28" i="8"/>
  <c r="I28" i="8"/>
  <c r="H28" i="8"/>
  <c r="G28" i="8"/>
  <c r="L30" i="8"/>
  <c r="H30" i="8"/>
  <c r="G30" i="8"/>
  <c r="I133" i="8"/>
  <c r="I111" i="8"/>
  <c r="I90" i="8"/>
  <c r="I69" i="8"/>
  <c r="J111" i="8"/>
  <c r="J90" i="8"/>
  <c r="J69" i="8"/>
  <c r="K133" i="8"/>
  <c r="K111" i="8"/>
  <c r="K90" i="8"/>
  <c r="K69" i="8"/>
  <c r="L50" i="8"/>
  <c r="L53" i="8"/>
  <c r="P56" i="8"/>
  <c r="F70" i="8"/>
  <c r="J12" i="8" s="1"/>
  <c r="L63" i="8"/>
  <c r="K63" i="8"/>
  <c r="J63" i="8"/>
  <c r="I63" i="8"/>
  <c r="H63" i="8"/>
  <c r="G63" i="8"/>
  <c r="L65" i="8"/>
  <c r="K65" i="8"/>
  <c r="J65" i="8"/>
  <c r="I65" i="8"/>
  <c r="H65" i="8"/>
  <c r="N65" i="8" s="1"/>
  <c r="G65" i="8"/>
  <c r="M65" i="8" s="1"/>
  <c r="L68" i="8"/>
  <c r="I68" i="8"/>
  <c r="H68" i="8"/>
  <c r="G68" i="8"/>
  <c r="F91" i="8"/>
  <c r="J13" i="8" s="1"/>
  <c r="L84" i="8"/>
  <c r="K84" i="8"/>
  <c r="J84" i="8"/>
  <c r="I84" i="8"/>
  <c r="H84" i="8"/>
  <c r="G84" i="8"/>
  <c r="L86" i="8"/>
  <c r="K86" i="8"/>
  <c r="J86" i="8"/>
  <c r="I86" i="8"/>
  <c r="H86" i="8"/>
  <c r="N86" i="8" s="1"/>
  <c r="G86" i="8"/>
  <c r="M86" i="8" s="1"/>
  <c r="L89" i="8"/>
  <c r="I89" i="8"/>
  <c r="H89" i="8"/>
  <c r="G89" i="8"/>
  <c r="F112" i="8"/>
  <c r="J11" i="8" s="1"/>
  <c r="L105" i="8"/>
  <c r="K105" i="8"/>
  <c r="J105" i="8"/>
  <c r="I105" i="8"/>
  <c r="H105" i="8"/>
  <c r="G105" i="8"/>
  <c r="R108" i="8"/>
  <c r="S105" i="8"/>
  <c r="S106" i="8"/>
  <c r="L107" i="8"/>
  <c r="K107" i="8"/>
  <c r="J107" i="8"/>
  <c r="I107" i="8"/>
  <c r="H107" i="8"/>
  <c r="N107" i="8" s="1"/>
  <c r="G107" i="8"/>
  <c r="M107" i="8" s="1"/>
  <c r="S107" i="8"/>
  <c r="L110" i="8"/>
  <c r="I110" i="8"/>
  <c r="H110" i="8"/>
  <c r="G110" i="8"/>
  <c r="F134" i="8"/>
  <c r="J10" i="8" s="1"/>
  <c r="L127" i="8"/>
  <c r="K127" i="8"/>
  <c r="J127" i="8"/>
  <c r="I127" i="8"/>
  <c r="H127" i="8"/>
  <c r="G127" i="8"/>
  <c r="L129" i="8"/>
  <c r="K129" i="8"/>
  <c r="J129" i="8"/>
  <c r="I129" i="8"/>
  <c r="H129" i="8"/>
  <c r="N129" i="8" s="1"/>
  <c r="G129" i="8"/>
  <c r="M129" i="8" s="1"/>
  <c r="L132" i="8"/>
  <c r="I132" i="8"/>
  <c r="H132" i="8"/>
  <c r="G132" i="8"/>
  <c r="F155" i="8"/>
  <c r="J9" i="8" s="1"/>
  <c r="L148" i="8"/>
  <c r="K148" i="8"/>
  <c r="J148" i="8"/>
  <c r="I148" i="8"/>
  <c r="H148" i="8"/>
  <c r="G148" i="8"/>
  <c r="L150" i="8"/>
  <c r="K150" i="8"/>
  <c r="J150" i="8"/>
  <c r="I150" i="8"/>
  <c r="H150" i="8"/>
  <c r="N150" i="8" s="1"/>
  <c r="G150" i="8"/>
  <c r="M150" i="8" s="1"/>
  <c r="R153" i="8"/>
  <c r="S152" i="8" s="1"/>
  <c r="S150" i="8"/>
  <c r="S153" i="8" s="1"/>
  <c r="L153" i="8"/>
  <c r="I153" i="8"/>
  <c r="H153" i="8"/>
  <c r="G153" i="8"/>
  <c r="W44" i="8" l="1"/>
  <c r="M153" i="8"/>
  <c r="J153" i="8"/>
  <c r="N153" i="8"/>
  <c r="K153" i="8"/>
  <c r="G155" i="8"/>
  <c r="M148" i="8"/>
  <c r="H155" i="8"/>
  <c r="N148" i="8"/>
  <c r="I155" i="8"/>
  <c r="J155" i="8"/>
  <c r="L156" i="8" s="1"/>
  <c r="K155" i="8"/>
  <c r="J14" i="8"/>
  <c r="L9" i="8"/>
  <c r="K9" i="8"/>
  <c r="M132" i="8"/>
  <c r="J132" i="8"/>
  <c r="N132" i="8"/>
  <c r="K132" i="8"/>
  <c r="G134" i="8"/>
  <c r="M127" i="8"/>
  <c r="M134" i="8" s="1"/>
  <c r="H134" i="8"/>
  <c r="N127" i="8"/>
  <c r="N134" i="8" s="1"/>
  <c r="I134" i="8"/>
  <c r="J134" i="8"/>
  <c r="L135" i="8" s="1"/>
  <c r="K134" i="8"/>
  <c r="L134" i="8"/>
  <c r="L10" i="8"/>
  <c r="K10" i="8"/>
  <c r="M110" i="8"/>
  <c r="J110" i="8"/>
  <c r="N110" i="8"/>
  <c r="K110" i="8"/>
  <c r="G112" i="8"/>
  <c r="M105" i="8"/>
  <c r="M112" i="8" s="1"/>
  <c r="H112" i="8"/>
  <c r="N105" i="8"/>
  <c r="N112" i="8" s="1"/>
  <c r="I112" i="8"/>
  <c r="J112" i="8"/>
  <c r="L113" i="8" s="1"/>
  <c r="K112" i="8"/>
  <c r="L112" i="8"/>
  <c r="L11" i="8"/>
  <c r="K11" i="8"/>
  <c r="M89" i="8"/>
  <c r="J89" i="8"/>
  <c r="N89" i="8"/>
  <c r="K89" i="8"/>
  <c r="G91" i="8"/>
  <c r="M84" i="8"/>
  <c r="M91" i="8" s="1"/>
  <c r="H91" i="8"/>
  <c r="N84" i="8"/>
  <c r="N91" i="8" s="1"/>
  <c r="I91" i="8"/>
  <c r="J91" i="8"/>
  <c r="L92" i="8" s="1"/>
  <c r="K91" i="8"/>
  <c r="L91" i="8"/>
  <c r="L13" i="8"/>
  <c r="K13" i="8"/>
  <c r="M68" i="8"/>
  <c r="J68" i="8"/>
  <c r="N68" i="8"/>
  <c r="K68" i="8"/>
  <c r="R28" i="8"/>
  <c r="R25" i="8"/>
  <c r="G70" i="8"/>
  <c r="M63" i="8"/>
  <c r="M70" i="8" s="1"/>
  <c r="H70" i="8"/>
  <c r="N63" i="8"/>
  <c r="N70" i="8" s="1"/>
  <c r="I70" i="8"/>
  <c r="J70" i="8"/>
  <c r="L71" i="8" s="1"/>
  <c r="K70" i="8"/>
  <c r="L70" i="8"/>
  <c r="R23" i="8"/>
  <c r="L12" i="8"/>
  <c r="K12" i="8"/>
  <c r="M28" i="8"/>
  <c r="J28" i="8"/>
  <c r="N28" i="8"/>
  <c r="K28" i="8"/>
  <c r="G29" i="8"/>
  <c r="G33" i="8" s="1"/>
  <c r="M23" i="8"/>
  <c r="M29" i="8" s="1"/>
  <c r="M33" i="8" s="1"/>
  <c r="H29" i="8"/>
  <c r="H33" i="8" s="1"/>
  <c r="N23" i="8"/>
  <c r="N29" i="8" s="1"/>
  <c r="N33" i="8" s="1"/>
  <c r="I29" i="8"/>
  <c r="I33" i="8" s="1"/>
  <c r="J29" i="8"/>
  <c r="K29" i="8"/>
  <c r="K33" i="8" s="1"/>
  <c r="L29" i="8"/>
  <c r="L33" i="8" s="1"/>
  <c r="R56" i="8" s="1"/>
  <c r="L154" i="8"/>
  <c r="I14" i="8"/>
  <c r="D171" i="8" l="1"/>
  <c r="D170" i="8"/>
  <c r="N154" i="8"/>
  <c r="M154" i="8"/>
  <c r="L155" i="8"/>
  <c r="L39" i="8"/>
  <c r="T50" i="8" s="1"/>
  <c r="J33" i="8"/>
  <c r="O33" i="8"/>
  <c r="L75" i="8"/>
  <c r="L72" i="8"/>
  <c r="L73" i="8"/>
  <c r="P73" i="8" s="1"/>
  <c r="P74" i="8" s="1"/>
  <c r="L74" i="8"/>
  <c r="L76" i="8"/>
  <c r="L77" i="8" s="1"/>
  <c r="L43" i="8" s="1"/>
  <c r="P71" i="8"/>
  <c r="O70" i="8"/>
  <c r="L96" i="8"/>
  <c r="L93" i="8"/>
  <c r="L94" i="8"/>
  <c r="P94" i="8" s="1"/>
  <c r="P95" i="8" s="1"/>
  <c r="L95" i="8"/>
  <c r="L97" i="8"/>
  <c r="L98" i="8" s="1"/>
  <c r="L44" i="8" s="1"/>
  <c r="P92" i="8"/>
  <c r="O91" i="8"/>
  <c r="L118" i="8"/>
  <c r="L114" i="8"/>
  <c r="L115" i="8"/>
  <c r="P115" i="8" s="1"/>
  <c r="P116" i="8" s="1"/>
  <c r="L116" i="8"/>
  <c r="L119" i="8"/>
  <c r="L120" i="8" s="1"/>
  <c r="P113" i="8"/>
  <c r="O112" i="8"/>
  <c r="L139" i="8"/>
  <c r="L136" i="8"/>
  <c r="L137" i="8"/>
  <c r="P137" i="8" s="1"/>
  <c r="P138" i="8" s="1"/>
  <c r="L138" i="8"/>
  <c r="L140" i="8"/>
  <c r="L141" i="8" s="1"/>
  <c r="L42" i="8" s="1"/>
  <c r="P135" i="8"/>
  <c r="P139" i="8" s="1"/>
  <c r="O134" i="8"/>
  <c r="L160" i="8"/>
  <c r="L157" i="8"/>
  <c r="K14" i="8"/>
  <c r="L158" i="8"/>
  <c r="P158" i="8" s="1"/>
  <c r="P159" i="8" s="1"/>
  <c r="L159" i="8"/>
  <c r="L161" i="8"/>
  <c r="P156" i="8"/>
  <c r="P160" i="8" s="1"/>
  <c r="N155" i="8"/>
  <c r="O155" i="8" s="1"/>
  <c r="M155" i="8"/>
  <c r="P118" i="8" l="1"/>
  <c r="P120" i="8" s="1"/>
  <c r="P96" i="8"/>
  <c r="P98" i="8" s="1"/>
  <c r="P75" i="8"/>
  <c r="P77" i="8" s="1"/>
  <c r="L162" i="8"/>
  <c r="L41" i="8" s="1"/>
  <c r="T51" i="8" s="1"/>
  <c r="L47" i="8" l="1"/>
  <c r="D169" i="8" l="1"/>
  <c r="D168" i="8"/>
  <c r="D172" i="8" l="1"/>
  <c r="E170" i="8" l="1"/>
  <c r="E171" i="8"/>
  <c r="E168" i="8"/>
  <c r="E169" i="8"/>
  <c r="H18" i="34" l="1"/>
  <c r="H21" i="34" s="1"/>
  <c r="I18" i="34"/>
  <c r="I21" i="34" s="1"/>
  <c r="K18" i="34"/>
  <c r="K21" i="34" s="1"/>
  <c r="J18" i="34"/>
  <c r="J21" i="34" s="1"/>
  <c r="J106" i="34" l="1"/>
  <c r="J243" i="34" s="1"/>
  <c r="J254" i="34" s="1"/>
  <c r="J39" i="34"/>
  <c r="K106" i="34"/>
  <c r="K243" i="34" s="1"/>
  <c r="K254" i="34" s="1"/>
  <c r="K39" i="34"/>
  <c r="I106" i="34"/>
  <c r="I243" i="34" s="1"/>
  <c r="I254" i="34" s="1"/>
  <c r="I39" i="34"/>
  <c r="H106" i="34"/>
  <c r="H39" i="34"/>
  <c r="J109" i="34"/>
  <c r="J40" i="34"/>
  <c r="J111" i="34" s="1"/>
  <c r="K109" i="34"/>
  <c r="K40" i="34"/>
  <c r="K111" i="34" s="1"/>
  <c r="I109" i="34"/>
  <c r="I40" i="34"/>
  <c r="I111" i="34" s="1"/>
  <c r="H109" i="34"/>
  <c r="H114" i="34" s="1"/>
  <c r="H40" i="34"/>
  <c r="H111" i="34" s="1"/>
  <c r="H113" i="34" l="1"/>
  <c r="H243" i="34"/>
  <c r="H254" i="34" s="1"/>
  <c r="M111" i="34"/>
  <c r="I244" i="34"/>
  <c r="I255" i="34" s="1"/>
  <c r="I114" i="34"/>
  <c r="K244" i="34"/>
  <c r="K255" i="34" s="1"/>
  <c r="K114" i="34"/>
  <c r="J244" i="34"/>
  <c r="J255" i="34" s="1"/>
  <c r="J114" i="34"/>
  <c r="K108" i="34"/>
  <c r="K113" i="34"/>
  <c r="I108" i="34"/>
  <c r="I113" i="34"/>
  <c r="J108" i="34"/>
  <c r="J113" i="34"/>
  <c r="H108" i="34"/>
  <c r="M106" i="34"/>
  <c r="H244" i="34"/>
  <c r="H255" i="34" s="1"/>
  <c r="M109" i="34"/>
  <c r="M114" i="34" l="1"/>
  <c r="M108" i="34"/>
  <c r="M113" i="34"/>
  <c r="G26" i="37"/>
  <c r="H24" i="37"/>
  <c r="H26" i="37" s="1"/>
  <c r="I24" i="37"/>
  <c r="I26" i="37" s="1"/>
  <c r="J24" i="37"/>
  <c r="J26" i="37" s="1"/>
  <c r="K24" i="37"/>
  <c r="K26" i="37" s="1"/>
  <c r="K100" i="37" l="1"/>
  <c r="K129" i="37" s="1"/>
  <c r="K103" i="37"/>
  <c r="K130" i="37" s="1"/>
  <c r="J100" i="37"/>
  <c r="J129" i="37" s="1"/>
  <c r="J103" i="37"/>
  <c r="J130" i="37" s="1"/>
  <c r="H100" i="37"/>
  <c r="H129" i="37" s="1"/>
  <c r="H103" i="37"/>
  <c r="H130" i="37" s="1"/>
  <c r="G103" i="37"/>
  <c r="G130" i="37" s="1"/>
  <c r="G100" i="37"/>
  <c r="G129" i="37" s="1"/>
  <c r="I103" i="37"/>
  <c r="I130" i="37" s="1"/>
  <c r="I100" i="37"/>
  <c r="I129" i="37" s="1"/>
  <c r="K153" i="37"/>
  <c r="K164" i="37" s="1"/>
  <c r="J153" i="37"/>
  <c r="J164" i="37" s="1"/>
  <c r="I153" i="37"/>
  <c r="I164" i="37" s="1"/>
  <c r="H153" i="37"/>
  <c r="H164" i="37" s="1"/>
  <c r="G153" i="37"/>
  <c r="G164" i="37" s="1"/>
  <c r="G41" i="37"/>
  <c r="K41" i="37"/>
  <c r="I41" i="37"/>
  <c r="J41" i="37"/>
  <c r="H41" i="37"/>
  <c r="G140" i="37" l="1"/>
  <c r="F11" i="58"/>
  <c r="F23" i="58" s="1"/>
  <c r="J141" i="37"/>
  <c r="I12" i="58"/>
  <c r="I141" i="37"/>
  <c r="H12" i="58"/>
  <c r="H141" i="37"/>
  <c r="G12" i="58"/>
  <c r="J140" i="37"/>
  <c r="I11" i="58"/>
  <c r="G141" i="37"/>
  <c r="F12" i="58"/>
  <c r="F24" i="58" s="1"/>
  <c r="K141" i="37"/>
  <c r="J12" i="58"/>
  <c r="I140" i="37"/>
  <c r="H11" i="58"/>
  <c r="H140" i="37"/>
  <c r="G11" i="58"/>
  <c r="K140" i="37"/>
  <c r="J11" i="58"/>
  <c r="I105" i="37"/>
  <c r="I108" i="37"/>
  <c r="H105" i="37"/>
  <c r="H108" i="37"/>
  <c r="H102" i="37"/>
  <c r="H111" i="37" s="1"/>
  <c r="H107" i="37"/>
  <c r="J105" i="37"/>
  <c r="J108" i="37"/>
  <c r="I102" i="37"/>
  <c r="I111" i="37" s="1"/>
  <c r="I107" i="37"/>
  <c r="J102" i="37"/>
  <c r="J111" i="37" s="1"/>
  <c r="J107" i="37"/>
  <c r="K105" i="37"/>
  <c r="K108" i="37"/>
  <c r="K102" i="37"/>
  <c r="K111" i="37" s="1"/>
  <c r="K107" i="37"/>
  <c r="G105" i="37"/>
  <c r="M103" i="37"/>
  <c r="G108" i="37"/>
  <c r="G102" i="37"/>
  <c r="M100" i="37"/>
  <c r="G107" i="37"/>
  <c r="H98" i="34"/>
  <c r="H103" i="34" s="1"/>
  <c r="H99" i="34"/>
  <c r="H228" i="34"/>
  <c r="G19" i="58" s="1"/>
  <c r="K112" i="37" l="1"/>
  <c r="M107" i="37"/>
  <c r="I112" i="37"/>
  <c r="J112" i="37"/>
  <c r="M108" i="37"/>
  <c r="H112" i="37"/>
  <c r="M105" i="37"/>
  <c r="G112" i="37"/>
  <c r="M102" i="37"/>
  <c r="G111" i="37"/>
  <c r="H116" i="34"/>
  <c r="H115" i="34"/>
  <c r="J98" i="34"/>
  <c r="J103" i="34" s="1"/>
  <c r="J99" i="34"/>
  <c r="J228" i="34"/>
  <c r="I19" i="58" s="1"/>
  <c r="H104" i="34"/>
  <c r="H223" i="34"/>
  <c r="I228" i="34"/>
  <c r="H19" i="58" s="1"/>
  <c r="I98" i="34"/>
  <c r="I103" i="34" s="1"/>
  <c r="M88" i="34"/>
  <c r="I99" i="34"/>
  <c r="M112" i="37" l="1"/>
  <c r="M133" i="37"/>
  <c r="M137" i="37"/>
  <c r="M135" i="37"/>
  <c r="M138" i="37"/>
  <c r="M136" i="37"/>
  <c r="H232" i="34"/>
  <c r="H231" i="34"/>
  <c r="J115" i="34"/>
  <c r="J116" i="34"/>
  <c r="I116" i="34"/>
  <c r="I115" i="34"/>
  <c r="H117" i="34"/>
  <c r="H118" i="34"/>
  <c r="I104" i="34"/>
  <c r="I223" i="34"/>
  <c r="G14" i="58"/>
  <c r="K99" i="34"/>
  <c r="K98" i="34"/>
  <c r="K103" i="34" s="1"/>
  <c r="K228" i="34"/>
  <c r="J19" i="58" s="1"/>
  <c r="J104" i="34"/>
  <c r="J223" i="34"/>
  <c r="G23" i="58" l="1"/>
  <c r="G24" i="58"/>
  <c r="L15" i="58"/>
  <c r="M21" i="58"/>
  <c r="M18" i="58"/>
  <c r="N21" i="58"/>
  <c r="L17" i="58"/>
  <c r="O21" i="58"/>
  <c r="P16" i="58"/>
  <c r="L21" i="58"/>
  <c r="M16" i="58"/>
  <c r="M15" i="58"/>
  <c r="N16" i="58"/>
  <c r="N17" i="58"/>
  <c r="P21" i="58"/>
  <c r="M17" i="58"/>
  <c r="N20" i="58"/>
  <c r="N18" i="58"/>
  <c r="L18" i="58"/>
  <c r="M20" i="58"/>
  <c r="L20" i="58"/>
  <c r="L16" i="58"/>
  <c r="O20" i="58"/>
  <c r="L19" i="58"/>
  <c r="P17" i="58"/>
  <c r="P20" i="58"/>
  <c r="O17" i="58"/>
  <c r="O18" i="58"/>
  <c r="P18" i="58"/>
  <c r="N15" i="58"/>
  <c r="O15" i="58"/>
  <c r="P15" i="58"/>
  <c r="O16" i="58"/>
  <c r="M19" i="58"/>
  <c r="P19" i="58"/>
  <c r="O19" i="58"/>
  <c r="N19" i="58"/>
  <c r="J232" i="34"/>
  <c r="J231" i="34"/>
  <c r="I232" i="34"/>
  <c r="I231" i="34"/>
  <c r="M103" i="34"/>
  <c r="K116" i="34"/>
  <c r="M116" i="34" s="1"/>
  <c r="K115" i="34"/>
  <c r="M115" i="34" s="1"/>
  <c r="J117" i="34"/>
  <c r="J118" i="34"/>
  <c r="I117" i="34"/>
  <c r="I118" i="34"/>
  <c r="K104" i="34"/>
  <c r="K223" i="34"/>
  <c r="I14" i="58"/>
  <c r="H14" i="58"/>
  <c r="H23" i="58" l="1"/>
  <c r="H24" i="58"/>
  <c r="I23" i="58"/>
  <c r="I24" i="58"/>
  <c r="M24" i="58"/>
  <c r="L24" i="58"/>
  <c r="K232" i="34"/>
  <c r="K231" i="34"/>
  <c r="M104" i="34"/>
  <c r="K117" i="34"/>
  <c r="M117" i="34" s="1"/>
  <c r="K118" i="34"/>
  <c r="M118" i="34" s="1"/>
  <c r="J14" i="58"/>
  <c r="J23" i="58" l="1"/>
  <c r="J24"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tc={34E5908B-7819-4ACE-8AAA-781782EFC3E1}</author>
  </authors>
  <commentList>
    <comment ref="B8" authorId="0" shapeId="0" xr:uid="{34E5908B-7819-4ACE-8AAA-781782EFC3E1}">
      <text>
        <t>[Threaded comment]
Your version of Excel allows you to read this threaded comment; however, any edits to it will get removed if the file is opened in a newer version of Excel. Learn more: https://go.microsoft.com/fwlink/?linkid=870924
Comment:
    Contract amt est.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tc={DA85D04B-A679-4796-A305-F9B9D880F5D2}</author>
    <author>tc={6D2AFAFE-5FCB-41D4-99B0-BAAB4609FDB0}</author>
    <author>tc={D9E2F042-652C-40E6-AFB3-406E107D3864}</author>
    <author>tc={FC8CFC54-4B19-4F06-856E-405C12436F47}</author>
    <author>tc={7C61E464-2057-435A-8BD7-FEA212CCF29C}</author>
    <author>tc={9A05DD94-33F1-41B7-8802-1D4831F3CF1A}</author>
    <author>tc={9E70FF00-4D48-4708-ABD7-0576885262CF}</author>
  </authors>
  <commentList>
    <comment ref="F9" authorId="0" shapeId="0" xr:uid="{DA85D04B-A679-4796-A305-F9B9D880F5D2}">
      <text>
        <t>[Threaded comment]
Your version of Excel allows you to read this threaded comment; however, any edits to it will get removed if the file is opened in a newer version of Excel. Learn more: https://go.microsoft.com/fwlink/?linkid=870924
Comment:
    Vehicle turnover fixed - do not escalate</t>
      </text>
    </comment>
    <comment ref="G9" authorId="1" shapeId="0" xr:uid="{6D2AFAFE-5FCB-41D4-99B0-BAAB4609FDB0}">
      <text>
        <t>[Threaded comment]
Your version of Excel allows you to read this threaded comment; however, any edits to it will get removed if the file is opened in a newer version of Excel. Learn more: https://go.microsoft.com/fwlink/?linkid=870924
Comment:
    Vehicle parking. Escalate by 3% / year</t>
      </text>
    </comment>
    <comment ref="I9" authorId="2" shapeId="0" xr:uid="{D9E2F042-652C-40E6-AFB3-406E107D3864}">
      <text>
        <t>[Threaded comment]
Your version of Excel allows you to read this threaded comment; however, any edits to it will get removed if the file is opened in a newer version of Excel. Learn more: https://go.microsoft.com/fwlink/?linkid=870924
Comment:
    Variable plus fixed/vsh</t>
      </text>
    </comment>
    <comment ref="I14" authorId="3" shapeId="0" xr:uid="{FC8CFC54-4B19-4F06-856E-405C12436F47}">
      <text>
        <t>[Threaded comment]
Your version of Excel allows you to read this threaded comment; however, any edits to it will get removed if the file is opened in a newer version of Excel. Learn more: https://go.microsoft.com/fwlink/?linkid=870924
Comment:
    Total op cost/VSH calculated in EC memo plus inflation</t>
      </text>
    </comment>
    <comment ref="D15" authorId="4" shapeId="0" xr:uid="{7C61E464-2057-435A-8BD7-FEA212CCF29C}">
      <text>
        <t>[Threaded comment]
Your version of Excel allows you to read this threaded comment; however, any edits to it will get removed if the file is opened in a newer version of Excel. Learn more: https://go.microsoft.com/fwlink/?linkid=870924
Comment:
    Contract max for variable costs for YR3 divided by 24-25 VSH
Reply:
    Contract max: $1,480,267. Doesn’t add up to actuals of $4 million +….</t>
      </text>
    </comment>
    <comment ref="F15" authorId="5" shapeId="0" xr:uid="{9A05DD94-33F1-41B7-8802-1D4831F3CF1A}">
      <text>
        <t>[Threaded comment]
Your version of Excel allows you to read this threaded comment; however, any edits to it will get removed if the file is opened in a newer version of Excel. Learn more: https://go.microsoft.com/fwlink/?linkid=870924
Comment:
    Contract max specified in contract</t>
      </text>
    </comment>
    <comment ref="I15" authorId="6" shapeId="0" xr:uid="{9E70FF00-4D48-4708-ABD7-0576885262CF}">
      <text>
        <t>[Threaded comment]
Your version of Excel allows you to read this threaded comment; however, any edits to it will get removed if the file is opened in a newer version of Excel. Learn more: https://go.microsoft.com/fwlink/?linkid=870924
Comment:
    Actuals for 24/25 plus inflation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tc={3D3F91E4-6DC0-4AEA-BEF9-BB683F38E67C}</author>
    <author>tc={13AA23C7-EA70-4332-AF32-47B005AC0F90}</author>
  </authors>
  <commentList>
    <comment ref="E20" authorId="0" shapeId="0" xr:uid="{3D3F91E4-6DC0-4AEA-BEF9-BB683F38E67C}">
      <text>
        <t>[Threaded comment]
Your version of Excel allows you to read this threaded comment; however, any edits to it will get removed if the file is opened in a newer version of Excel. Learn more: https://go.microsoft.com/fwlink/?linkid=870924
Comment:
    Hwy 89/267</t>
      </text>
    </comment>
    <comment ref="E38" authorId="1" shapeId="0" xr:uid="{13AA23C7-EA70-4332-AF32-47B005AC0F90}">
      <text>
        <t>[Threaded comment]
Your version of Excel allows you to read this threaded comment; however, any edits to it will get removed if the file is opened in a newer version of Excel. Learn more: https://go.microsoft.com/fwlink/?linkid=870924
Comment:
    Hwy 89/267 only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Will Garner</author>
    <author>Jaime Wright</author>
  </authors>
  <commentList>
    <comment ref="C6" authorId="0" shapeId="0" xr:uid="{F1E378BB-9631-4564-946B-6DA1B495842C}">
      <text>
        <r>
          <rPr>
            <b/>
            <sz val="9"/>
            <color indexed="81"/>
            <rFont val="Tahoma"/>
            <family val="2"/>
          </rPr>
          <t>Will Garner:</t>
        </r>
        <r>
          <rPr>
            <sz val="9"/>
            <color indexed="81"/>
            <rFont val="Tahoma"/>
            <family val="2"/>
          </rPr>
          <t xml:space="preserve">
CA-2020-022 - TART FTA 5339 Capital Assistance FFY 2019</t>
        </r>
      </text>
    </comment>
    <comment ref="D11" authorId="1" shapeId="0" xr:uid="{BA82CABC-7C99-4DF2-810A-4EA89CC1B7BD}">
      <text>
        <r>
          <rPr>
            <b/>
            <sz val="9"/>
            <color indexed="81"/>
            <rFont val="Tahoma"/>
            <family val="2"/>
          </rPr>
          <t>Jaime Wright:</t>
        </r>
        <r>
          <rPr>
            <sz val="9"/>
            <color indexed="81"/>
            <rFont val="Tahoma"/>
            <family val="2"/>
          </rPr>
          <t xml:space="preserve">
reduced based on need. </t>
        </r>
      </text>
    </comment>
    <comment ref="E11" authorId="1" shapeId="0" xr:uid="{445D4CAF-6A97-4B16-882B-15A1C12CD2DD}">
      <text>
        <r>
          <rPr>
            <b/>
            <sz val="9"/>
            <color indexed="81"/>
            <rFont val="Tahoma"/>
            <family val="2"/>
          </rPr>
          <t>Jaime Wright:</t>
        </r>
        <r>
          <rPr>
            <sz val="9"/>
            <color indexed="81"/>
            <rFont val="Tahoma"/>
            <family val="2"/>
          </rPr>
          <t xml:space="preserve">
reduced based on need. </t>
        </r>
      </text>
    </comment>
  </commentList>
</comments>
</file>

<file path=xl/sharedStrings.xml><?xml version="1.0" encoding="utf-8"?>
<sst xmlns="http://schemas.openxmlformats.org/spreadsheetml/2006/main" count="2088" uniqueCount="916">
  <si>
    <t>HILL COUNTRY TRANSIT DISTRICT</t>
  </si>
  <si>
    <t>FY2024 Proposed Budget (1/1/24 - 12/31/24)</t>
  </si>
  <si>
    <t>Presented to Board of Directors 11/20/23</t>
  </si>
  <si>
    <t>In Service</t>
  </si>
  <si>
    <t>Commuter Bus Allocation Based on Census 2020 Population by City</t>
  </si>
  <si>
    <t>Vehicles</t>
  </si>
  <si>
    <t>Cost Estimate</t>
  </si>
  <si>
    <t>Population</t>
  </si>
  <si>
    <t>Hours</t>
  </si>
  <si>
    <t>Allocated Cost</t>
  </si>
  <si>
    <t>TEMPLE</t>
  </si>
  <si>
    <t>BELTON</t>
  </si>
  <si>
    <t>KILLEEN</t>
  </si>
  <si>
    <t>COPPERAS COVE</t>
  </si>
  <si>
    <t>HARKER HEIGHTS</t>
  </si>
  <si>
    <t>Average Fare</t>
  </si>
  <si>
    <t>FY24 Budget Targets</t>
  </si>
  <si>
    <t>As of 6/6/2023</t>
  </si>
  <si>
    <t>Fully Allocated Expenses</t>
  </si>
  <si>
    <t>Avg. Daily</t>
  </si>
  <si>
    <t>Avg. Fleet During</t>
  </si>
  <si>
    <t>Annual Vehicle Revenue Hours</t>
  </si>
  <si>
    <t>Annual Passengers</t>
  </si>
  <si>
    <t>Proposed</t>
  </si>
  <si>
    <t>FY23</t>
  </si>
  <si>
    <t>Microtransit On-demand All Urban Zones</t>
  </si>
  <si>
    <t xml:space="preserve"> Service Hours</t>
  </si>
  <si>
    <t>Contingency</t>
  </si>
  <si>
    <t>FY24</t>
  </si>
  <si>
    <t>Budget</t>
  </si>
  <si>
    <t>All Zones - Avg. Wait Times 30min Peak</t>
  </si>
  <si>
    <t>260 Weekdays</t>
  </si>
  <si>
    <t>+10%</t>
  </si>
  <si>
    <t>+20%</t>
  </si>
  <si>
    <t>Low</t>
  </si>
  <si>
    <t>Med</t>
  </si>
  <si>
    <t>High</t>
  </si>
  <si>
    <t>Diff Lo/Hi</t>
  </si>
  <si>
    <t>7am - 11am + 3pm - 7pm</t>
  </si>
  <si>
    <t>All Zones - Avg. Wait Times 40min Off Peak</t>
  </si>
  <si>
    <t>11am - 3pm + 7pm - 9pm</t>
  </si>
  <si>
    <t>All Zones - Avg. Wait Times 30min Off Peak</t>
  </si>
  <si>
    <t>52 Weekend Days</t>
  </si>
  <si>
    <t>TNC Service Provider</t>
  </si>
  <si>
    <t>Medicaid Trips (50 daily)</t>
  </si>
  <si>
    <t>Total Microtransit On-demand</t>
  </si>
  <si>
    <r>
      <t xml:space="preserve">Commuter Bus - </t>
    </r>
    <r>
      <rPr>
        <b/>
        <sz val="8"/>
        <color theme="1"/>
        <rFont val="Calibri"/>
        <family val="2"/>
        <scheme val="minor"/>
      </rPr>
      <t>Stops in Temple, Belton, Nolanville, Harker Heights, Killeen, Copperas Cove</t>
    </r>
  </si>
  <si>
    <t xml:space="preserve">Rural </t>
  </si>
  <si>
    <t>Fort Cavazos (No Fare)</t>
  </si>
  <si>
    <t>County</t>
  </si>
  <si>
    <t>State &amp; Fed Funding Allocation</t>
  </si>
  <si>
    <t>NEMT Revenue</t>
  </si>
  <si>
    <t>Local Funding Contributions</t>
  </si>
  <si>
    <t>FY24 Budget Target</t>
  </si>
  <si>
    <t>FY24 County Funding Commitment</t>
  </si>
  <si>
    <t>Total Projected Expense</t>
  </si>
  <si>
    <t>Projected Revenue</t>
  </si>
  <si>
    <t>Federal Grant Revenue</t>
  </si>
  <si>
    <t>Bell County</t>
  </si>
  <si>
    <t>Federal Grant Carbon Reduction Grant</t>
  </si>
  <si>
    <t>Coryell County</t>
  </si>
  <si>
    <t>State Revenue</t>
  </si>
  <si>
    <t>Hamilton County</t>
  </si>
  <si>
    <t>Urban Medicaid Revenue</t>
  </si>
  <si>
    <t>Lampasas County</t>
  </si>
  <si>
    <t>Fare Revenue</t>
  </si>
  <si>
    <t>Llano County</t>
  </si>
  <si>
    <t>Killeen Local</t>
  </si>
  <si>
    <t>Mason County</t>
  </si>
  <si>
    <t>Temple Local</t>
  </si>
  <si>
    <t>Milam County</t>
  </si>
  <si>
    <t>Belton Local</t>
  </si>
  <si>
    <t>Mills County</t>
  </si>
  <si>
    <t>Copperas Cove Local</t>
  </si>
  <si>
    <t>San Saba</t>
  </si>
  <si>
    <t>Harker Heights Local</t>
  </si>
  <si>
    <t>Rural Local ($242,661 Medicaid + $543,841 Counties)</t>
  </si>
  <si>
    <t>Fort Cavazos</t>
  </si>
  <si>
    <t>Total Revenues</t>
  </si>
  <si>
    <t>Total Revenue All Sources</t>
  </si>
  <si>
    <t>Killeen UZA Federal Revenue Allocation</t>
  </si>
  <si>
    <t>State Grant Revenue</t>
  </si>
  <si>
    <t>Killeen State UZA Allocation</t>
  </si>
  <si>
    <t>Total Killeen</t>
  </si>
  <si>
    <t>Temple UZA Federal UZA Revenue Allocation</t>
  </si>
  <si>
    <t>Urban Local</t>
  </si>
  <si>
    <t>Temple State FY24 UZA Revenue Allocation + 5311 Grant Revenue</t>
  </si>
  <si>
    <t>Rural Medicaid Revenue</t>
  </si>
  <si>
    <t>Total Temple</t>
  </si>
  <si>
    <t>Rural Local</t>
  </si>
  <si>
    <t>Rural Federal Allocation</t>
  </si>
  <si>
    <t>Rural State Allocation</t>
  </si>
  <si>
    <t>Total</t>
  </si>
  <si>
    <t>Total Rural</t>
  </si>
  <si>
    <t>Estimates for Microtransit On-demand Copperas Cove Zones</t>
  </si>
  <si>
    <t xml:space="preserve">Medicaid Trips </t>
  </si>
  <si>
    <t>Commuter Bus Allocation</t>
  </si>
  <si>
    <t>Based on hours in each city</t>
  </si>
  <si>
    <t>Federal Revenue</t>
  </si>
  <si>
    <t>Total Revenue Sources</t>
  </si>
  <si>
    <t>Net Required Subsidy</t>
  </si>
  <si>
    <t>Estimates for Microtransit On-demand Harker Heights</t>
  </si>
  <si>
    <t>Estimates for Microtransit On-demand Killeen</t>
  </si>
  <si>
    <t>Killeen</t>
  </si>
  <si>
    <t>Cove</t>
  </si>
  <si>
    <t>Heights</t>
  </si>
  <si>
    <t>Killeen Current Local Revenue Share</t>
  </si>
  <si>
    <t>Estimates for Microtransit On-demand Belton</t>
  </si>
  <si>
    <t>Estimates for Microtransit On-demand Temple</t>
  </si>
  <si>
    <t>Belton</t>
  </si>
  <si>
    <t>All Zones - Avg. Wait Times 35min Off peak</t>
  </si>
  <si>
    <t>Temple</t>
  </si>
  <si>
    <t xml:space="preserve">Net Required Subsidy </t>
  </si>
  <si>
    <t>Total Expenses</t>
  </si>
  <si>
    <t>Rural</t>
  </si>
  <si>
    <t>City of South Lake Tahoe</t>
  </si>
  <si>
    <t>The total available for operating assistance is based on FY 2018 NTD Data and the Section 5307 funding shown in FTA Apportionment Table #3.</t>
  </si>
  <si>
    <t xml:space="preserve">NOTES: </t>
  </si>
  <si>
    <t>1. Agencies that are included in this table AND that are eligible for grants under the Section 5307 Urbanized Area Formula Program are eligible to receive operating assistance under the provisions of 5307(a)(2)(A), subject to local allocation, up to the amounts specified in column "H" in Fiscal Year 2020.</t>
  </si>
  <si>
    <t>4. Public agencies that operate fixed route bus service and demand response service, excluding complementary ADA service, are permitted to use this provision in their Urbanized Area Formula Program grants.</t>
  </si>
  <si>
    <t xml:space="preserve">5. Certain transit operators that reported to NTD in a consolidated (multi-agency) report are included based on a vehicle revenue hour share proportional to the number of vehicles reported in maximum service.  </t>
  </si>
  <si>
    <t>6. Transit operators may receive a cap for each urbanized area in which they operate and report transit service.</t>
  </si>
  <si>
    <t>7. Agencies that contract for public transportation service from a private operator, and which otherwise qualify for an operating cap under this provision, have been credited with the vehicle revenue hours reported by the private provider as attributable to the public agency.</t>
  </si>
  <si>
    <t>Urbanized Area of Service Provided</t>
  </si>
  <si>
    <t>Public Transportation System Operator</t>
  </si>
  <si>
    <t>Vehicles Operated in Peak Fixed Route and Demand Response Service</t>
  </si>
  <si>
    <t xml:space="preserve">Apportionment to Urbanized Area </t>
  </si>
  <si>
    <t>Percent of Apportionment Attributable to Operator based on Vehicle Revenue Hours</t>
  </si>
  <si>
    <t>Eligible Percent Factor Category</t>
  </si>
  <si>
    <t>FY 2020 Maximum Amount of Section 5307 Operating Assistance Allowed</t>
  </si>
  <si>
    <t>FY 2020 Maximum Amount of Section 5307 Operating Assistance Allowed                   5307(a)(2)(B)</t>
  </si>
  <si>
    <t>FY18</t>
  </si>
  <si>
    <t>Lake Tahoe Region, CA-NV</t>
  </si>
  <si>
    <t>Placer County Department of Public Works and Facilities</t>
  </si>
  <si>
    <t>Tahoe Transportation District</t>
  </si>
  <si>
    <t>FY19</t>
  </si>
  <si>
    <t>FY20</t>
  </si>
  <si>
    <t>Lake Tahoe, CA-NV</t>
  </si>
  <si>
    <t>County of Placer</t>
  </si>
  <si>
    <t>FY21</t>
  </si>
  <si>
    <t>FY22</t>
  </si>
  <si>
    <t>FY27</t>
  </si>
  <si>
    <t>JPA</t>
  </si>
  <si>
    <r>
      <t xml:space="preserve">2. Beginning in FY17, agencies may </t>
    </r>
    <r>
      <rPr>
        <i/>
        <u/>
        <sz val="12"/>
        <color theme="1"/>
        <rFont val="Calibri"/>
        <family val="2"/>
        <scheme val="minor"/>
      </rPr>
      <t>alternatively</t>
    </r>
    <r>
      <rPr>
        <i/>
        <sz val="12"/>
        <color theme="1"/>
        <rFont val="Calibri"/>
        <family val="2"/>
        <scheme val="minor"/>
      </rPr>
      <t xml:space="preserve"> use program funds up to the amount shown in column "I" for operating assistance under 5307(a)(2)(B), provided that this amount is no greater than 50 or 75 percent of the total amount allocated to them for eligible projects through the local planning process, consistent with the eligible percent factor shown in column "G".</t>
    </r>
  </si>
  <si>
    <r>
      <t xml:space="preserve">3. This list </t>
    </r>
    <r>
      <rPr>
        <b/>
        <i/>
        <sz val="12"/>
        <color theme="1"/>
        <rFont val="Calibri"/>
        <family val="2"/>
        <scheme val="minor"/>
      </rPr>
      <t xml:space="preserve">does NOT indicate </t>
    </r>
    <r>
      <rPr>
        <i/>
        <sz val="12"/>
        <color theme="1"/>
        <rFont val="Calibri"/>
        <family val="2"/>
        <scheme val="minor"/>
      </rPr>
      <t>an agency's eligibility or entitlement for funding and does not represent an allocation of funding under the Urbanized Area Formula Program or any other FTA program.</t>
    </r>
  </si>
  <si>
    <t>FY27 JPA ASSUMPTIONS USING - FTA FY 2020 SECTION 5307 OPERATING ASSISTANCE SPECIAL RULE 
OPERATOR CAPS FOR URBANIZED AREAS OVER 200,000 IN POPULATION</t>
  </si>
  <si>
    <t>Miles</t>
  </si>
  <si>
    <t>FTA Sub-Allocation (5307, 5339, 5310)</t>
  </si>
  <si>
    <t>TTD</t>
  </si>
  <si>
    <t>Revenue Miles (urban)</t>
  </si>
  <si>
    <t>CA</t>
  </si>
  <si>
    <t>NV</t>
  </si>
  <si>
    <t>Placer-TART</t>
  </si>
  <si>
    <t>Population (US Census)</t>
  </si>
  <si>
    <t>-</t>
  </si>
  <si>
    <t>2020 Census</t>
  </si>
  <si>
    <t>Earned Share Factors</t>
  </si>
  <si>
    <t>Revenue Miles Factor</t>
  </si>
  <si>
    <t>Population Factor</t>
  </si>
  <si>
    <t>Ridership Factor</t>
  </si>
  <si>
    <t>Placer</t>
  </si>
  <si>
    <t>5307-Total</t>
  </si>
  <si>
    <t>5307-Ops (75%)</t>
  </si>
  <si>
    <t>5307-Cap (25%)</t>
  </si>
  <si>
    <t>TDVA</t>
  </si>
  <si>
    <t>Heavenly</t>
  </si>
  <si>
    <t>Douglas County</t>
  </si>
  <si>
    <t>Vehicle</t>
  </si>
  <si>
    <t>Revenue</t>
  </si>
  <si>
    <t>FY28</t>
  </si>
  <si>
    <t>Px</t>
  </si>
  <si>
    <t>VRM TTD</t>
  </si>
  <si>
    <t>VRM JPA</t>
  </si>
  <si>
    <t>VRH JPA</t>
  </si>
  <si>
    <t>Other</t>
  </si>
  <si>
    <t>Comps</t>
  </si>
  <si>
    <t># of Vehicles</t>
  </si>
  <si>
    <t xml:space="preserve">Mammoth, Ca </t>
  </si>
  <si>
    <t>Jackson Hole, Wy</t>
  </si>
  <si>
    <t>Park City, Ut</t>
  </si>
  <si>
    <t>Eagle County, Co</t>
  </si>
  <si>
    <t>Summit County, Co</t>
  </si>
  <si>
    <t>Steamboat Springs, Co</t>
  </si>
  <si>
    <t>Whistler</t>
  </si>
  <si>
    <t>Vail, Co</t>
  </si>
  <si>
    <t>Sun Valley, Id</t>
  </si>
  <si>
    <t>Aspen</t>
  </si>
  <si>
    <t>Nevada</t>
  </si>
  <si>
    <t>CA+CO</t>
  </si>
  <si>
    <t>CO Only</t>
  </si>
  <si>
    <t>Average</t>
  </si>
  <si>
    <t>COLA to Tahoe</t>
  </si>
  <si>
    <t>Target Hourly Rate</t>
  </si>
  <si>
    <t>Cost per Hr.</t>
  </si>
  <si>
    <t>Fixed Route</t>
  </si>
  <si>
    <t>TART</t>
  </si>
  <si>
    <t>State/Local</t>
  </si>
  <si>
    <t>Regional fx</t>
  </si>
  <si>
    <t>Recreational</t>
  </si>
  <si>
    <t xml:space="preserve">Regional comps suggest a targeted cost of $96-$183 per VRH for fixed route services </t>
  </si>
  <si>
    <t xml:space="preserve">Local </t>
  </si>
  <si>
    <t>Micro Urban</t>
  </si>
  <si>
    <t>Recreation</t>
  </si>
  <si>
    <t>Micro Meyers</t>
  </si>
  <si>
    <t>Projected Passengers Per Revenue Hour</t>
  </si>
  <si>
    <t>Estimated Miles Per Vehicle Revenue Hour</t>
  </si>
  <si>
    <t xml:space="preserve">Microtransit </t>
  </si>
  <si>
    <t>Fx</t>
  </si>
  <si>
    <t>National and regional comps support the use of $175 per VRH for fixed route services as a target</t>
  </si>
  <si>
    <t>DRAFT SRTP used as a source of information</t>
  </si>
  <si>
    <t>FY 26-27</t>
  </si>
  <si>
    <t>South Shore</t>
  </si>
  <si>
    <t>Lake Link</t>
  </si>
  <si>
    <t>North Shore</t>
  </si>
  <si>
    <t>TART Connect</t>
  </si>
  <si>
    <t>Operating Cost Rates</t>
  </si>
  <si>
    <t>Per VSH</t>
  </si>
  <si>
    <t>Per VSM</t>
  </si>
  <si>
    <t>NOTES</t>
  </si>
  <si>
    <t>Based on 24-25 actuals cost model from Existing Conditions report (+4% inflation/yr)</t>
  </si>
  <si>
    <t>Based on 24-25 actuals cost model from Existing Conditions report (+5% inflation/yr to reflect contract-specified escation rates)</t>
  </si>
  <si>
    <t>Tot. Op Cost/VSH</t>
  </si>
  <si>
    <t>Based on 24/25 actuals plus 4% inflation/yr</t>
  </si>
  <si>
    <t>My Ride to Work</t>
  </si>
  <si>
    <t>24-25</t>
  </si>
  <si>
    <t>26-27*</t>
  </si>
  <si>
    <t>FY 25-26</t>
  </si>
  <si>
    <t>FY 27-28</t>
  </si>
  <si>
    <t>FY 28-29</t>
  </si>
  <si>
    <t>FY 29-30</t>
  </si>
  <si>
    <t>FY 30-31</t>
  </si>
  <si>
    <t>Inflation escalator (general)</t>
  </si>
  <si>
    <t>24-25 VSH</t>
  </si>
  <si>
    <t>Cost per hr</t>
  </si>
  <si>
    <t>Cost per mi</t>
  </si>
  <si>
    <t>24-25 VSM</t>
  </si>
  <si>
    <t>Population Change Rate</t>
  </si>
  <si>
    <t>Plan Element</t>
  </si>
  <si>
    <t>Marginal Operating Costs</t>
  </si>
  <si>
    <t>Implementation Plan - Do not Delete</t>
  </si>
  <si>
    <t>Fixed Costs</t>
  </si>
  <si>
    <t>Total Service Plan Costs</t>
  </si>
  <si>
    <t>Source: LSC Transportation Consultants, Inc.</t>
  </si>
  <si>
    <t xml:space="preserve"> </t>
  </si>
  <si>
    <t xml:space="preserve">Questions </t>
  </si>
  <si>
    <t>5-Year Plan Revenues/
Costs</t>
  </si>
  <si>
    <t>Notes</t>
  </si>
  <si>
    <t>74K for 5311</t>
  </si>
  <si>
    <t>Annual change based on projected County population change</t>
  </si>
  <si>
    <t>RTP pop projections</t>
  </si>
  <si>
    <t>Fixed</t>
  </si>
  <si>
    <t>SB 125 (Operating)</t>
  </si>
  <si>
    <t>Washoe RTC</t>
  </si>
  <si>
    <t>Placer County (Transient Occupancy Tax)</t>
  </si>
  <si>
    <t>Town of Truckee</t>
  </si>
  <si>
    <t>North Shore Resort Partners</t>
  </si>
  <si>
    <t>North Shore Local Partners (Free Fares)</t>
  </si>
  <si>
    <t xml:space="preserve">Martis Zones of Benefit </t>
  </si>
  <si>
    <t>Tahoe Blue Events Center Mitigation Fee</t>
  </si>
  <si>
    <t>South Lake Tahoe Tourism Improvement District (SLTTID)</t>
  </si>
  <si>
    <t>Ceasars Entertainment</t>
  </si>
  <si>
    <t>Roundhill Pines Resort</t>
  </si>
  <si>
    <t>Advance Learning</t>
  </si>
  <si>
    <t>Lake Tahoe Community College (LTCC)</t>
  </si>
  <si>
    <t>1% increase yearly</t>
  </si>
  <si>
    <t>1% increase yearly. NV gets $9.8 million total FTA 5311</t>
  </si>
  <si>
    <t>New Bus Stops</t>
  </si>
  <si>
    <t>FTA and TDA Funding Split Worksheet</t>
  </si>
  <si>
    <r>
      <t>TTD Base Case Operating Cost</t>
    </r>
    <r>
      <rPr>
        <vertAlign val="superscript"/>
        <sz val="11"/>
        <rFont val="Calibri"/>
        <family val="2"/>
      </rPr>
      <t xml:space="preserve"> 1</t>
    </r>
  </si>
  <si>
    <t xml:space="preserve">Service Plan Element Marginal Operating Costs </t>
  </si>
  <si>
    <t>Lake Link Operating Revenue</t>
  </si>
  <si>
    <t xml:space="preserve">Lake Link </t>
  </si>
  <si>
    <t>SUMMARY OF TOTAL SOUTH SHORE TRANSIT OPERATING REVENUE</t>
  </si>
  <si>
    <t>TTD Operating Revenue</t>
  </si>
  <si>
    <t>Total South Shore Operating Revenue</t>
  </si>
  <si>
    <t>TTD Service Plan Costs</t>
  </si>
  <si>
    <t>Lake Link Service Plan Costs</t>
  </si>
  <si>
    <t>Connect</t>
  </si>
  <si>
    <r>
      <t>Placer TART Base Case Operating Cost</t>
    </r>
    <r>
      <rPr>
        <vertAlign val="superscript"/>
        <sz val="11"/>
        <rFont val="Calibri"/>
        <family val="2"/>
      </rPr>
      <t xml:space="preserve"> 1</t>
    </r>
  </si>
  <si>
    <t>Placer TART Connect Base Case Operating Cost</t>
  </si>
  <si>
    <t>Base ridership growth (from 25-26 Status Quo)</t>
  </si>
  <si>
    <t>Total North Shore Transit Operating Cost</t>
  </si>
  <si>
    <t>2% annual increase to match the average recently</t>
  </si>
  <si>
    <t>No change</t>
  </si>
  <si>
    <t xml:space="preserve">FEDERAL FUNDING APPORTIONMENT </t>
  </si>
  <si>
    <t>25-26 VSH</t>
  </si>
  <si>
    <t>25-26 VSM</t>
  </si>
  <si>
    <t>Ridership (22/23)</t>
  </si>
  <si>
    <t>FY26 FTA Apportionments</t>
  </si>
  <si>
    <t>TOT 26 FTA</t>
  </si>
  <si>
    <t>UZA Total</t>
  </si>
  <si>
    <t>Final</t>
  </si>
  <si>
    <t>Allocation Totals by Operator</t>
  </si>
  <si>
    <t>Eliminate 19X and Replace with US 50 Service (4 Round Trips)</t>
  </si>
  <si>
    <t>Reinstate TART Connect Service in Incline Village</t>
  </si>
  <si>
    <t>Seasonal Expansion of Route 28 to Spooner Mobility Hub</t>
  </si>
  <si>
    <t>Continue to Operate the Emerald Bay Shuttle (Route 30) Beyond the Pilot Period</t>
  </si>
  <si>
    <t>Pilot Co-mingled Paratransit/Microtransit Service to Meyers</t>
  </si>
  <si>
    <t>Discontinue Route 50 Deviation to LTCC</t>
  </si>
  <si>
    <t>Reinstate TART Connect Service in Incline Village, NV</t>
  </si>
  <si>
    <t>Fleet Expansion</t>
  </si>
  <si>
    <t>TTD 26/27 One Gillig Hybrid</t>
  </si>
  <si>
    <t>From TART Transit replacement plan (11/2024)</t>
  </si>
  <si>
    <t>Gas cutaway</t>
  </si>
  <si>
    <t>Gas van (from 24/25 TART budget)</t>
  </si>
  <si>
    <t>24/25</t>
  </si>
  <si>
    <t>Staffing</t>
  </si>
  <si>
    <t>Bus Pull outs and Pedestrian Crossings</t>
  </si>
  <si>
    <t>5-Year Costs</t>
  </si>
  <si>
    <t>EDIT THIS Table</t>
  </si>
  <si>
    <t>LINKED SUMMARY TABLE</t>
  </si>
  <si>
    <t>2019 Lake Transit Bus Pull out est.</t>
  </si>
  <si>
    <r>
      <t xml:space="preserve">Lake Link Base Case Operating Cost </t>
    </r>
    <r>
      <rPr>
        <b/>
        <vertAlign val="superscript"/>
        <sz val="11"/>
        <rFont val="Calibri"/>
        <family val="2"/>
        <scheme val="minor"/>
      </rPr>
      <t>2</t>
    </r>
  </si>
  <si>
    <t>Note 1: TTD base case costs based upon FY 2024-25 actual expenses and the LSC Cost Model (Existing Conditions Memo) plus 4% annual inflation and FY 2024-25 service levels. Assumes 4% annual inflation rate moving forward.</t>
  </si>
  <si>
    <t>Tahoe Transportation District (TTD)</t>
  </si>
  <si>
    <t>Note 4: Assumes no annual change from FY 2026-27 budget.</t>
  </si>
  <si>
    <t>Bayview</t>
  </si>
  <si>
    <t>Eagle Falls</t>
  </si>
  <si>
    <t>DL Bliss</t>
  </si>
  <si>
    <t>Meeks</t>
  </si>
  <si>
    <t>Sugar Pine</t>
  </si>
  <si>
    <t>Transit Repair Shop</t>
  </si>
  <si>
    <t>Tire Shop / Admin Building</t>
  </si>
  <si>
    <t>Wash Bay</t>
  </si>
  <si>
    <t>Est. Gas Cutaway (Based on TART 2024 Purchase)</t>
  </si>
  <si>
    <t>Est. Gas Van (Based on TART 2024 Purchase)</t>
  </si>
  <si>
    <t>Per Unit Costs / Notes (FY 26/27 $)</t>
  </si>
  <si>
    <t>Costs directly sourced from 2023 Facility Condition Assessment Reports.</t>
  </si>
  <si>
    <t>Est. Inclusive Cost of Bus Pull Out</t>
  </si>
  <si>
    <t>Est. Cost of RRFB</t>
  </si>
  <si>
    <t>Est. Cost of New Bus Stop with Sign</t>
  </si>
  <si>
    <t>Est. Total Cost of Bus Shelter in Tahoe</t>
  </si>
  <si>
    <t>Est. cost to hire, onboard, train new driver</t>
  </si>
  <si>
    <t>Pull Out</t>
  </si>
  <si>
    <t>RRFB</t>
  </si>
  <si>
    <t>----&gt;&gt;&gt;&gt;&gt;&gt;</t>
  </si>
  <si>
    <t>Total Cost</t>
  </si>
  <si>
    <t>Expenditure Type</t>
  </si>
  <si>
    <t>Service Recommendation</t>
  </si>
  <si>
    <t>Unit Numbers</t>
  </si>
  <si>
    <t>Growth of FTA funds</t>
  </si>
  <si>
    <t xml:space="preserve">1.  NTD information </t>
  </si>
  <si>
    <t xml:space="preserve">2. FTA Apportionment table </t>
  </si>
  <si>
    <t>FY27 FTA Apportionments</t>
  </si>
  <si>
    <t>Are we sticking with $0 fare rec or are we changing to something lower ($2)?</t>
  </si>
  <si>
    <t>1% increase annually</t>
  </si>
  <si>
    <t>Base FTA Funding Split Worksheet</t>
  </si>
  <si>
    <t>Inflation</t>
  </si>
  <si>
    <r>
      <t xml:space="preserve">Pilot Co-mingled Paratransit/Microtransit Service to Meyers </t>
    </r>
    <r>
      <rPr>
        <vertAlign val="superscript"/>
        <sz val="11"/>
        <rFont val="Calibri"/>
        <family val="2"/>
      </rPr>
      <t>4</t>
    </r>
  </si>
  <si>
    <t xml:space="preserve">Note 4: Uses Lake Link costs to project future costs, assuming that this co-mingled service would be operated by a third-party contractor. </t>
  </si>
  <si>
    <r>
      <t>Emerald Bay Shuttle (Route 30)</t>
    </r>
    <r>
      <rPr>
        <i/>
        <vertAlign val="superscript"/>
        <sz val="11"/>
        <rFont val="Calibri"/>
        <family val="2"/>
      </rPr>
      <t>3</t>
    </r>
  </si>
  <si>
    <t>Total allocated through FY 27-28: $809,000</t>
  </si>
  <si>
    <t>Total allocated through FY 27-28: 431,395 (AQMD, VMT Reduction Fund)</t>
  </si>
  <si>
    <t>Total allocated through FY 27-28: $38,000</t>
  </si>
  <si>
    <t>Assumes AB 125 allocation in FY 2026-27</t>
  </si>
  <si>
    <t>Note 1: Assumes 1% increase annually.</t>
  </si>
  <si>
    <t>Note 2: Reflects assumption that total LTF allocation and STA revenue changes annually based on RTP projected population change. Assumes no change in TRPA TDA Split.</t>
  </si>
  <si>
    <t>Note 3: Fares shown come from Emerald Bay Shuttle.</t>
  </si>
  <si>
    <t xml:space="preserve">Note 5: Represents total revenue committed for 2026 and 2027 seasons. </t>
  </si>
  <si>
    <t>TTD Fixed Route Bus</t>
  </si>
  <si>
    <t>TTD Paratransit</t>
  </si>
  <si>
    <t>TART Fixed Route</t>
  </si>
  <si>
    <t>INPUTS</t>
  </si>
  <si>
    <t>EXAMPLE. Based on FY 25-26, Increased by 1%</t>
  </si>
  <si>
    <t>One-Way Pax Trip Fare</t>
  </si>
  <si>
    <t>Passenger-Trips</t>
  </si>
  <si>
    <t>Vehicle Service Hours</t>
  </si>
  <si>
    <t>Vehicle Service Miles</t>
  </si>
  <si>
    <t>Operator</t>
  </si>
  <si>
    <t>19X</t>
  </si>
  <si>
    <t>SSTMA</t>
  </si>
  <si>
    <t>ADA Para</t>
  </si>
  <si>
    <t>West Shore</t>
  </si>
  <si>
    <t>N Shore</t>
  </si>
  <si>
    <t>Night</t>
  </si>
  <si>
    <t>FY 2025-26</t>
  </si>
  <si>
    <t>Data Year</t>
  </si>
  <si>
    <t>25-26</t>
  </si>
  <si>
    <t>estimate</t>
  </si>
  <si>
    <t>TTD TOTAL</t>
  </si>
  <si>
    <t>LAKE LINK</t>
  </si>
  <si>
    <t>TART TOTAL</t>
  </si>
  <si>
    <t>TART CONNECT</t>
  </si>
  <si>
    <t>Summary Table (Linked)</t>
  </si>
  <si>
    <t>Estimated Total Operating Cost</t>
  </si>
  <si>
    <t>FTA 5311</t>
  </si>
  <si>
    <t>FTA 5307</t>
  </si>
  <si>
    <t>Earmarked Funding</t>
  </si>
  <si>
    <t>Para</t>
  </si>
  <si>
    <t>FTA 5310</t>
  </si>
  <si>
    <t>TTD Routes</t>
  </si>
  <si>
    <t>Estimated Fare Revenue</t>
  </si>
  <si>
    <t xml:space="preserve">Route 30 </t>
  </si>
  <si>
    <t>Estimated Ridership (Passenger-Trips)</t>
  </si>
  <si>
    <t>Status Quo (Not Including Service Recommendations)</t>
  </si>
  <si>
    <t>FTA 5311 (50%)</t>
  </si>
  <si>
    <t xml:space="preserve">Federal </t>
  </si>
  <si>
    <t>FTA 5307 (50%)</t>
  </si>
  <si>
    <t>Non Federal Match Used (Amount)</t>
  </si>
  <si>
    <t>Funding Source</t>
  </si>
  <si>
    <t xml:space="preserve">FTA 5307  </t>
  </si>
  <si>
    <t>Summary of Funding Revenue TYPE - Linked</t>
  </si>
  <si>
    <t>TTD Funding Used VS. Budgeted 26-27 - Linked</t>
  </si>
  <si>
    <t>Budgeted</t>
  </si>
  <si>
    <t>Allocated in LSC 'By Route' Table to Left</t>
  </si>
  <si>
    <t>NV St Parks Funding</t>
  </si>
  <si>
    <t>How much 5307 and 5311 goes to capital?</t>
  </si>
  <si>
    <t>TDA (33% to rural)</t>
  </si>
  <si>
    <t>TDA (66% to urban)</t>
  </si>
  <si>
    <t>Surplus/Deficit? TTD Admin</t>
  </si>
  <si>
    <t>TTD Urban</t>
  </si>
  <si>
    <t>TTD Rural</t>
  </si>
  <si>
    <t>TDA Rural</t>
  </si>
  <si>
    <t>TDA Urban</t>
  </si>
  <si>
    <t>Extra TDA?</t>
  </si>
  <si>
    <t>Surplus TDVA?</t>
  </si>
  <si>
    <t>Surplus/Deficit after Apportioned Funds</t>
  </si>
  <si>
    <t>Final Surplus/Deficit</t>
  </si>
  <si>
    <t>REVENUE</t>
  </si>
  <si>
    <t xml:space="preserve">  %</t>
  </si>
  <si>
    <t>FY 19/20</t>
  </si>
  <si>
    <t>FY20/21</t>
  </si>
  <si>
    <t>FY 21/22</t>
  </si>
  <si>
    <t>FY 22/23</t>
  </si>
  <si>
    <t>FY 23/24</t>
  </si>
  <si>
    <t>Ledger</t>
  </si>
  <si>
    <t>19 20 B</t>
  </si>
  <si>
    <t>20 21 B</t>
  </si>
  <si>
    <t>21 22 B</t>
  </si>
  <si>
    <t>22 23 B</t>
  </si>
  <si>
    <t>23-24 B</t>
  </si>
  <si>
    <t>24-25 B</t>
  </si>
  <si>
    <t>25-26 B</t>
  </si>
  <si>
    <t>26-27B</t>
  </si>
  <si>
    <t>Explanation</t>
  </si>
  <si>
    <t>Change</t>
  </si>
  <si>
    <t>45010 - Free Fare Contributions</t>
  </si>
  <si>
    <t>45010 - Resort Winter Contributions</t>
  </si>
  <si>
    <t>49060 - TOT Funds for Operating Costs</t>
  </si>
  <si>
    <t>TRPA LTF</t>
  </si>
  <si>
    <t>Estimated based on 23-24 allocation</t>
  </si>
  <si>
    <t>Airport District</t>
  </si>
  <si>
    <t>Homewood</t>
  </si>
  <si>
    <t>Base Transit Service Operated by TART</t>
  </si>
  <si>
    <t>PCTPA LTF West Slope Contr. Hwy 89/267</t>
  </si>
  <si>
    <t xml:space="preserve">Estimated based on 23-24 allocation </t>
  </si>
  <si>
    <t>Palisades</t>
  </si>
  <si>
    <t>Village @ Palisades</t>
  </si>
  <si>
    <t>Summer Transit Services Operated by TART *</t>
  </si>
  <si>
    <t>Interest Revenue</t>
  </si>
  <si>
    <t>Northstar</t>
  </si>
  <si>
    <t>Shoulder Season Nite Rider</t>
  </si>
  <si>
    <t>FTA Grant - Construction</t>
  </si>
  <si>
    <t>Everline</t>
  </si>
  <si>
    <t>Winter Service 30 minutes</t>
  </si>
  <si>
    <t xml:space="preserve">FTA 5311 </t>
  </si>
  <si>
    <t>Northstar Added 6AM run</t>
  </si>
  <si>
    <t xml:space="preserve">FTA 5339 </t>
  </si>
  <si>
    <t>ADA Capital</t>
  </si>
  <si>
    <t>Fed Op Assist - 5311 TRPA</t>
  </si>
  <si>
    <t>Estimated based on 22-23 allocation</t>
  </si>
  <si>
    <t>Alpine Meadows</t>
  </si>
  <si>
    <t>Squaw AM &amp; PM Peak Service</t>
  </si>
  <si>
    <t>FTA 5307 TRPA UZA Funds</t>
  </si>
  <si>
    <t>Winter Night Service</t>
  </si>
  <si>
    <t>CARES Act Operating Funding 5307</t>
  </si>
  <si>
    <t>Welk Resorts</t>
  </si>
  <si>
    <t>Summer Night Service</t>
  </si>
  <si>
    <t>CARES Act Capital Funding 5307</t>
  </si>
  <si>
    <t xml:space="preserve">CARES Funding - Capital Purchase </t>
  </si>
  <si>
    <t>Included in ops cost</t>
  </si>
  <si>
    <t>Northstar AM &amp; PM Peak Service</t>
  </si>
  <si>
    <t>CARES Act Operating Funding 5311</t>
  </si>
  <si>
    <t>Round 2 - 5311 CARES Funding allocation 477,471</t>
  </si>
  <si>
    <t xml:space="preserve">Year-Round 30 Minute Service </t>
  </si>
  <si>
    <t>STA</t>
  </si>
  <si>
    <t>TRPA $610,118 PCTPA $500000</t>
  </si>
  <si>
    <t>TOT</t>
  </si>
  <si>
    <t>Winter 30 Minute Service TC &amp; Squaw</t>
  </si>
  <si>
    <t>SB1 - State of Good Repair</t>
  </si>
  <si>
    <t>Use 26-27 for PM</t>
  </si>
  <si>
    <t>Winter 30 Minute Service Cr.Bay &amp; Northstar</t>
  </si>
  <si>
    <t>LCTOP</t>
  </si>
  <si>
    <t>Fill Time Gaps between Afternoon &amp; Evening Svc</t>
  </si>
  <si>
    <t>Proposition 1B</t>
  </si>
  <si>
    <t xml:space="preserve">Free to the Rider Fare Reimburement </t>
  </si>
  <si>
    <t>Other State Funding</t>
  </si>
  <si>
    <t>SB125 buses $891,367 (contingency not in PO) 
SB125 Tech &amp; EV Improvements $3,926,217.44</t>
  </si>
  <si>
    <t xml:space="preserve">Other - Town of Truckee Night Service </t>
  </si>
  <si>
    <t>RTC - Incline Village Fixed Route</t>
  </si>
  <si>
    <t>RTC Contribution to TART &amp; TART Connect Connect Est @ $1.5 million</t>
  </si>
  <si>
    <t>TOTAL</t>
  </si>
  <si>
    <t xml:space="preserve">Resort Partner (Previous TMA Pass-thru) </t>
  </si>
  <si>
    <t>Contributions to Winter Ops Cost</t>
  </si>
  <si>
    <t xml:space="preserve">Incline/Crystal Bay Funding - TART Connect </t>
  </si>
  <si>
    <t>Contributions to fund free fares</t>
  </si>
  <si>
    <t>Truckee Contract</t>
  </si>
  <si>
    <t xml:space="preserve">Truckee contribution for hwy 89 &amp; 267 (Add $63K for 267 in 25-26) </t>
  </si>
  <si>
    <t>Tahoe Truckee Airport Distr.</t>
  </si>
  <si>
    <t xml:space="preserve">Hwy 267 Contribution </t>
  </si>
  <si>
    <t>RTC ADA Contribution</t>
  </si>
  <si>
    <t>Revised Total</t>
  </si>
  <si>
    <t>Add in Free Fares</t>
  </si>
  <si>
    <t xml:space="preserve">Farebox/Free Fare Contributions </t>
  </si>
  <si>
    <t>Replace by Free Fare Contributions</t>
  </si>
  <si>
    <t>Grand Total TOT Funding</t>
  </si>
  <si>
    <t>Other General Reimbursement</t>
  </si>
  <si>
    <t xml:space="preserve">TART Connect TOT Funding </t>
  </si>
  <si>
    <t>* Note</t>
  </si>
  <si>
    <t>TOT for Base Service</t>
  </si>
  <si>
    <t>To cover TART Shortfall</t>
  </si>
  <si>
    <t>Summer Transit Serivce By Route</t>
  </si>
  <si>
    <t>Daily VRH</t>
  </si>
  <si>
    <t>% VRH</t>
  </si>
  <si>
    <t>TOT Funds for Transit Programs</t>
  </si>
  <si>
    <t>Added TART Services</t>
  </si>
  <si>
    <t xml:space="preserve">30 Minute Northshore </t>
  </si>
  <si>
    <t>TOT Funds for Free Fares</t>
  </si>
  <si>
    <t>Contribution to fund free fares</t>
  </si>
  <si>
    <t>Hwy 89 Route @ 11.58 hours per day</t>
  </si>
  <si>
    <t xml:space="preserve">TOT Funds for Truckee Night Service &amp; Fares </t>
  </si>
  <si>
    <t xml:space="preserve">Tahoe Traffic Mitigation Fees </t>
  </si>
  <si>
    <t xml:space="preserve">Traffic mitigation fees </t>
  </si>
  <si>
    <t>Hwy 267 Route @ 8.82 hours per day</t>
  </si>
  <si>
    <t>Operating Transfers In</t>
  </si>
  <si>
    <t>Martis ZOB revenue</t>
  </si>
  <si>
    <t>Added 6:05pm SV to Hyatt 7:12pm run</t>
  </si>
  <si>
    <t>Operating</t>
  </si>
  <si>
    <t>Using Summer Stats 15.xlsx as basis of Summer Service Costs</t>
  </si>
  <si>
    <t xml:space="preserve">Operating </t>
  </si>
  <si>
    <t>Operating - fixed route only</t>
  </si>
  <si>
    <t>Placer County Local Transp Funds</t>
  </si>
  <si>
    <t>Placer County T.O.T.</t>
  </si>
  <si>
    <t>Federal Transit Administration</t>
  </si>
  <si>
    <t>State Transit Assistance</t>
  </si>
  <si>
    <t>SB1 State of Good Repair</t>
  </si>
  <si>
    <t>Truckee Tahoe Airport District</t>
  </si>
  <si>
    <t xml:space="preserve">Developer Zone of Benefit </t>
  </si>
  <si>
    <t>Squaw Valley</t>
  </si>
  <si>
    <t>Resort at Squaw Creek</t>
  </si>
  <si>
    <t>Fare Revenue Contributions - Private</t>
  </si>
  <si>
    <t>Fare Revenue Contributions - TOT</t>
  </si>
  <si>
    <t>VSH are from contract not actual</t>
  </si>
  <si>
    <t>SB 125</t>
  </si>
  <si>
    <t>Tahoe Blue</t>
  </si>
  <si>
    <t>Tahoe Blue (Secure Funding)</t>
  </si>
  <si>
    <t>Public Local Funds</t>
  </si>
  <si>
    <t>Private/Non Profit Funds</t>
  </si>
  <si>
    <t>Total Revenue</t>
  </si>
  <si>
    <t>2026 %s</t>
  </si>
  <si>
    <t>SSTMA Lake Link contract costs for 2027. Plus Fixed Admin costs</t>
  </si>
  <si>
    <t>Note 2: Lake Link base case costs based upon the current approved SSTMA/Downtowner contract and 2027 projected service levels. Assumes 4% annual inflation rate moving forward.</t>
  </si>
  <si>
    <t>FY 26-27(2027)</t>
  </si>
  <si>
    <t>FY 27-28 (2028)</t>
  </si>
  <si>
    <t>FY 28-29 (2029)</t>
  </si>
  <si>
    <t>FY 29-30 (2030)</t>
  </si>
  <si>
    <t>FY 30-31 (2031)</t>
  </si>
  <si>
    <t>Lake Tahoe Visitor's Authority</t>
  </si>
  <si>
    <t>FY 25-26 (2026)</t>
  </si>
  <si>
    <t>Note 2: Costs for FY 26-27 (2027) and on based on current contract plus fixed costs. 4% annual inflation added.</t>
  </si>
  <si>
    <t>FY 24-25 Allocated total operating cost per route (Existing Conditions Memo)</t>
  </si>
  <si>
    <t>new</t>
  </si>
  <si>
    <t>Total Cost per hour including Admin Costs in a way that can be variable based on operator, how do we increase for inflation?</t>
  </si>
  <si>
    <t>Do we use same split between North Shore/South Shore for 5307?</t>
  </si>
  <si>
    <t>This is more for a regional planning perspective not detailed enough for operations</t>
  </si>
  <si>
    <t>TNTTMA</t>
  </si>
  <si>
    <t>Can be used to cover 50% of operating costs (urban rtes), 80% ADA.</t>
  </si>
  <si>
    <t>Can be used to cover 50% of operating costs (rural rtes)</t>
  </si>
  <si>
    <t>ADA</t>
  </si>
  <si>
    <t>TTD: 33% to rural, 66% to urban</t>
  </si>
  <si>
    <t>--</t>
  </si>
  <si>
    <t>Low Carbon Transit Operations Program (LCTOP) - Operating</t>
  </si>
  <si>
    <t>Electrification Credits</t>
  </si>
  <si>
    <t>Nevada State Parks</t>
  </si>
  <si>
    <t>Tahoe Douglas Visitor Authority</t>
  </si>
  <si>
    <t>Keep Tahoe Blue (Emerald Bay Shuttle)</t>
  </si>
  <si>
    <t>Emerald Bay has already changed</t>
  </si>
  <si>
    <t>Carbon Reduction Program (Emerald Bay Shuttle)</t>
  </si>
  <si>
    <t>El Dorado County (Emerald Bay Shuttle)</t>
  </si>
  <si>
    <t>Placer County (Emerald Bay Shuttle)</t>
  </si>
  <si>
    <t>CMAQ grants coming</t>
  </si>
  <si>
    <t>Difference</t>
  </si>
  <si>
    <t>Receive TDA end of Feb/beginning of March, so put FTA forward first</t>
  </si>
  <si>
    <t>FTA match with Toll credits in past, this made an impact, now need to provide more match</t>
  </si>
  <si>
    <t>Will start assigning TDA as match earlier. Fluid, need to look at 5 year term</t>
  </si>
  <si>
    <t>TDA has to be used on Nevada routes</t>
  </si>
  <si>
    <r>
      <t xml:space="preserve">FTA specifically says that where there are multiple recipients within a UZA, the MPO and designated recipients should determine the subarea allocation through a </t>
    </r>
    <r>
      <rPr>
        <b/>
        <sz val="11"/>
        <color theme="1"/>
        <rFont val="Calibri"/>
        <family val="2"/>
      </rPr>
      <t>"fair and rational" process based on local needs</t>
    </r>
    <r>
      <rPr>
        <sz val="11"/>
        <color theme="1"/>
        <rFont val="Calibri"/>
        <family val="2"/>
        <scheme val="minor"/>
      </rPr>
      <t>.</t>
    </r>
  </si>
  <si>
    <t xml:space="preserve">If saving a $1 on 5311 side, not really saving a$1 on 5307 side. </t>
  </si>
  <si>
    <t>Fiscal Cliff in 31</t>
  </si>
  <si>
    <t>Historically had more Nevada 5311 than CA</t>
  </si>
  <si>
    <t>Cost Allocated by route based on % of miles per month</t>
  </si>
  <si>
    <t>Now more people wanting NDOT 5311</t>
  </si>
  <si>
    <t>Other than pilot funding, do not isolate costs.</t>
  </si>
  <si>
    <t>Used to have funding from Vail and the Ridge</t>
  </si>
  <si>
    <t>Utlitiy costs pooled for entire system, this has been agreed to by partners</t>
  </si>
  <si>
    <t>Then got 5307</t>
  </si>
  <si>
    <t>NDOT match - 20% match for admin and 40% for operating, 5% capitcal costs</t>
  </si>
  <si>
    <t>Decided (collectively) that who receives benefit of route gets urban/rural benefit</t>
  </si>
  <si>
    <t>If loose TDA, then money has to come from Douglas or other</t>
  </si>
  <si>
    <t>LCTOP alternates with TART every other year; based on ridership</t>
  </si>
  <si>
    <t>Don't see Douglas County, El Dorado County, SLT, Carson MPO, DART, get buy in from other authorities</t>
  </si>
  <si>
    <t>Hard to bridge a couple months of funding</t>
  </si>
  <si>
    <t>Matters when expenses hit</t>
  </si>
  <si>
    <t>Same level of detail for SSTMA, Placer</t>
  </si>
  <si>
    <t>For lake Link</t>
  </si>
  <si>
    <t>Revenue sources and if any restrictions for five years</t>
  </si>
  <si>
    <t>Expenditures by zone</t>
  </si>
  <si>
    <t>Douglas County and SLT are only 2 written contract</t>
  </si>
  <si>
    <t>TART/TART Connect</t>
  </si>
  <si>
    <t>Per Route costs</t>
  </si>
  <si>
    <t>Per Route revenues/matching</t>
  </si>
  <si>
    <t xml:space="preserve">Funding Source </t>
  </si>
  <si>
    <t>FTA 5307 (Tahoe UZA) - Formula</t>
  </si>
  <si>
    <t>FTA 5307 (Tahoe UZA) - CMAQ Funds</t>
  </si>
  <si>
    <t>FTA 5307 (Tahoe UZA) - Carryover</t>
  </si>
  <si>
    <t>FTA 5310 - Carryover</t>
  </si>
  <si>
    <t>Placer TART</t>
  </si>
  <si>
    <t>26-27 Budget</t>
  </si>
  <si>
    <t>TDA LTF (TRPA)</t>
  </si>
  <si>
    <t>TDA STA (TRPA)</t>
  </si>
  <si>
    <t>TDA LTF (PCTPA)</t>
  </si>
  <si>
    <t>FTA 5311 CA (PCTPA)</t>
  </si>
  <si>
    <t>FTA 5311 NV (NDOT)</t>
  </si>
  <si>
    <t>TDA STA (PCTPA)</t>
  </si>
  <si>
    <t>State of Good Repair</t>
  </si>
  <si>
    <t>Vanpools</t>
  </si>
  <si>
    <t>Travel North Tahoe Nevada</t>
  </si>
  <si>
    <t>Reno Tahoe Airport Authority</t>
  </si>
  <si>
    <t>Visit Truckee Tahoe</t>
  </si>
  <si>
    <t xml:space="preserve">Mainline </t>
  </si>
  <si>
    <t>Hwy 89</t>
  </si>
  <si>
    <t>Hwy 267</t>
  </si>
  <si>
    <t>TART Connect (Zone 1)</t>
  </si>
  <si>
    <t>TART Connect (Zone 2)</t>
  </si>
  <si>
    <t>TART Connect (Zone 3)</t>
  </si>
  <si>
    <t>TART Connect (Zone 4)</t>
  </si>
  <si>
    <t>Lake Link (Zone 3)</t>
  </si>
  <si>
    <t>Lake Link (Zone 1)</t>
  </si>
  <si>
    <t>Lake Link (Zone 2)</t>
  </si>
  <si>
    <t>Park&amp;Ride Shuttle (Winter)</t>
  </si>
  <si>
    <t>Park&amp;Ride Shuttle (Summer)</t>
  </si>
  <si>
    <t>North Lake Tahoe Express</t>
  </si>
  <si>
    <t>NLTE</t>
  </si>
  <si>
    <t>Sugar Bowl</t>
  </si>
  <si>
    <t>Private</t>
  </si>
  <si>
    <t>MRTW Contract</t>
  </si>
  <si>
    <t>Bus(TART)</t>
  </si>
  <si>
    <t>Van(TART)</t>
  </si>
  <si>
    <t>Shuttle (P&amp;R)</t>
  </si>
  <si>
    <t>Van(P&amp;R)</t>
  </si>
  <si>
    <t>Based on contract cost from TART/MRTW FY 24-25 (+3% inflation/yr)</t>
  </si>
  <si>
    <t>Based on Park and Ride contract cost from TNTTMA/MRTW FY 25-26 (+3% inflation/yr)</t>
  </si>
  <si>
    <t>ADA Para (Placer)</t>
  </si>
  <si>
    <t>ADA Para (TTD)</t>
  </si>
  <si>
    <t>25-26 Budget</t>
  </si>
  <si>
    <t>Placer TART Paratransit</t>
  </si>
  <si>
    <t>Downtowner</t>
  </si>
  <si>
    <t>Via</t>
  </si>
  <si>
    <t>MRTW</t>
  </si>
  <si>
    <t>LL Z1</t>
  </si>
  <si>
    <t>LL Z2</t>
  </si>
  <si>
    <t>LL Z3</t>
  </si>
  <si>
    <t>TC Z1</t>
  </si>
  <si>
    <t>TC Z2</t>
  </si>
  <si>
    <t>TC Z3</t>
  </si>
  <si>
    <t>TC Z4</t>
  </si>
  <si>
    <t>All</t>
  </si>
  <si>
    <t>Example</t>
  </si>
  <si>
    <t>Agency</t>
  </si>
  <si>
    <t>Service/Route</t>
  </si>
  <si>
    <t>Main Line</t>
  </si>
  <si>
    <t>Truckee</t>
  </si>
  <si>
    <t>Park&amp;Ride (Winter)</t>
  </si>
  <si>
    <t>Park&amp;Ride (Summ)</t>
  </si>
  <si>
    <t>Cost per VSH</t>
  </si>
  <si>
    <t>Agency/Operator Combinations</t>
  </si>
  <si>
    <t>Agency/Op Combinations</t>
  </si>
  <si>
    <t>Form</t>
  </si>
  <si>
    <t>Est Op Cost</t>
  </si>
  <si>
    <t>Estimate</t>
  </si>
  <si>
    <t>Estimate based on budget costs for 25-26</t>
  </si>
  <si>
    <t>T Revenue</t>
  </si>
  <si>
    <t>Deficit/Surplus?</t>
  </si>
  <si>
    <t>26-27</t>
  </si>
  <si>
    <t>Route 30</t>
  </si>
  <si>
    <t>Discontinue Route 50 Deviation to LTCC during Summer</t>
  </si>
  <si>
    <t>Core Reoccuring Apportioned Funds (FTA, TDA)</t>
  </si>
  <si>
    <t>Other State/Federal Funds (LCTOP, CRP)</t>
  </si>
  <si>
    <t>TNT TMA</t>
  </si>
  <si>
    <t>Source</t>
  </si>
  <si>
    <t>Amount</t>
  </si>
  <si>
    <t>Expenses</t>
  </si>
  <si>
    <t>Travel North Tahoe NV</t>
  </si>
  <si>
    <t>Washoe County</t>
  </si>
  <si>
    <t>Reno-Tahoe Airport Authority</t>
  </si>
  <si>
    <t>Additional Truckee</t>
  </si>
  <si>
    <t>Farebox</t>
  </si>
  <si>
    <t>Operations Contract</t>
  </si>
  <si>
    <t>Admin</t>
  </si>
  <si>
    <t>Admin/Fixed</t>
  </si>
  <si>
    <t>Administration</t>
  </si>
  <si>
    <t>Membership</t>
  </si>
  <si>
    <t>Program Management</t>
  </si>
  <si>
    <t>Marketing Management</t>
  </si>
  <si>
    <t>Personnel</t>
  </si>
  <si>
    <t>Services and Supplies</t>
  </si>
  <si>
    <t>Park and Ride Shuttles</t>
  </si>
  <si>
    <t>Placer County (TOT)</t>
  </si>
  <si>
    <t>NTCA</t>
  </si>
  <si>
    <t>Operations</t>
  </si>
  <si>
    <t>TNT TMA Admin</t>
  </si>
  <si>
    <t>Facility Attendent, Rental, Snow, Toilet</t>
  </si>
  <si>
    <t>Marketing</t>
  </si>
  <si>
    <t>Van Pool</t>
  </si>
  <si>
    <t>Van Pools</t>
  </si>
  <si>
    <t>Total TNT/TMA Program Operating Costs</t>
  </si>
  <si>
    <t>Note 1: Base Case costs based upon FY 2024-25 actual expenses plus 4% inflation and FY 2025-26 service levels. Assumes 4% annual inflation rate moving forward.</t>
  </si>
  <si>
    <t>24-25 Actual</t>
  </si>
  <si>
    <t>26-27 B</t>
  </si>
  <si>
    <t>2026-27 B</t>
  </si>
  <si>
    <t>Regional Transit Marketing</t>
  </si>
  <si>
    <t>RCMF</t>
  </si>
  <si>
    <t>TNTNV</t>
  </si>
  <si>
    <t>Marketing Activities</t>
  </si>
  <si>
    <r>
      <t>TNT/TMA Program Operating Costs</t>
    </r>
    <r>
      <rPr>
        <b/>
        <vertAlign val="superscript"/>
        <sz val="11"/>
        <rFont val="Calibri"/>
        <family val="2"/>
        <scheme val="minor"/>
      </rPr>
      <t>2</t>
    </r>
  </si>
  <si>
    <t>Note 2: Excludes Town of Truckee event shuttles.</t>
  </si>
  <si>
    <t>Per van cost</t>
  </si>
  <si>
    <t>Per year cost</t>
  </si>
  <si>
    <t>Expansion of 2 vans/ year</t>
  </si>
  <si>
    <t xml:space="preserve">Placer County  </t>
  </si>
  <si>
    <t>TNT/TMA</t>
  </si>
  <si>
    <t>North Tahoe Community Alliance</t>
  </si>
  <si>
    <t>Palisades Tahoe</t>
  </si>
  <si>
    <t>Management Revenues</t>
  </si>
  <si>
    <t>4% growth</t>
  </si>
  <si>
    <t>Flat growth</t>
  </si>
  <si>
    <t>Northstar Resort</t>
  </si>
  <si>
    <t>Fare Revenue (NLTE)</t>
  </si>
  <si>
    <t>Summary</t>
  </si>
  <si>
    <t>Increase Van Pools between Reno and Truckee/North Lake Tahoe</t>
  </si>
  <si>
    <t xml:space="preserve">      Table X: Placer TART Connect Financial Forecast </t>
  </si>
  <si>
    <t>Fares</t>
  </si>
  <si>
    <t>Fares (NLTE)</t>
  </si>
  <si>
    <t>Memberships/Management</t>
  </si>
  <si>
    <t>Nevada County</t>
  </si>
  <si>
    <t>Other Truckee</t>
  </si>
  <si>
    <t>Reserve</t>
  </si>
  <si>
    <t>NLTE Reserve*</t>
  </si>
  <si>
    <t>Public Local Funds (Includes TOT)</t>
  </si>
  <si>
    <r>
      <t xml:space="preserve">Local Transportation Fund (LTF) </t>
    </r>
    <r>
      <rPr>
        <vertAlign val="superscript"/>
        <sz val="11"/>
        <color theme="1"/>
        <rFont val="Calibri"/>
        <family val="2"/>
      </rPr>
      <t>2</t>
    </r>
  </si>
  <si>
    <r>
      <t>State Transit Assistance (STA)</t>
    </r>
    <r>
      <rPr>
        <vertAlign val="superscript"/>
        <sz val="11"/>
        <color theme="1"/>
        <rFont val="Calibri"/>
        <family val="2"/>
      </rPr>
      <t xml:space="preserve"> 2</t>
    </r>
  </si>
  <si>
    <r>
      <t xml:space="preserve">State of Good Repair (SGR) </t>
    </r>
    <r>
      <rPr>
        <vertAlign val="superscript"/>
        <sz val="11"/>
        <color theme="1"/>
        <rFont val="Calibri"/>
        <family val="2"/>
      </rPr>
      <t>2</t>
    </r>
  </si>
  <si>
    <r>
      <t xml:space="preserve">FTA 5311 (Caltrans) </t>
    </r>
    <r>
      <rPr>
        <vertAlign val="superscript"/>
        <sz val="11"/>
        <color theme="1"/>
        <rFont val="Calibri"/>
        <family val="2"/>
      </rPr>
      <t>1</t>
    </r>
  </si>
  <si>
    <r>
      <t xml:space="preserve">FTA 5307 (Lake Tahoe UZA) </t>
    </r>
    <r>
      <rPr>
        <vertAlign val="superscript"/>
        <sz val="11"/>
        <color theme="1"/>
        <rFont val="Calibri"/>
        <family val="2"/>
      </rPr>
      <t>1</t>
    </r>
  </si>
  <si>
    <t>4% annually with inflation</t>
  </si>
  <si>
    <t>Note 1: Operating costs based upon FY 2024-25 actual expenses plus 4%-5% inflation and FY 2025-26 service levels. Assumes 4%-5% annual inflation rate moving forward.</t>
  </si>
  <si>
    <t>Note 1: Operating costs based upon FY 2024-25 actual expenses plus 5% inflation and FY 2025-26 service levels. Assumes5% annual inflation rate moving forward to reflect contract escalation.</t>
  </si>
  <si>
    <t>Note 1: Costs and revenues based on FY 2026-27 TNT/TMA budget. Assumes 4% inflation moving forward.</t>
  </si>
  <si>
    <t>TTD gets every other year</t>
  </si>
  <si>
    <t>Assumes no sur charge inflation</t>
  </si>
  <si>
    <t>Note 6: Assumes funding support at existing levels beyond the end of the current written agreements.</t>
  </si>
  <si>
    <t>Note 7: Assumes $3 surcharge allocated to transit and no increase in max annual attendee cap.</t>
  </si>
  <si>
    <t>Note 8: Contributed funding to Lake Link in FY 2025-26. No funding commitment secured for FY 2026-27.</t>
  </si>
  <si>
    <t>Public Local Funds (County, City, TOT, etc.)</t>
  </si>
  <si>
    <t>Other (Membership, Program Management)</t>
  </si>
  <si>
    <t>Other Private/Non Profit Funds</t>
  </si>
  <si>
    <t>2027 %s</t>
  </si>
  <si>
    <t>Service Plan Capital Costs</t>
  </si>
  <si>
    <t>Co-Branding Transit Services Under TART Brand</t>
  </si>
  <si>
    <t>Transition of Lake Link Contract to TTD</t>
  </si>
  <si>
    <t>Creation of Transit Network Manager Position</t>
  </si>
  <si>
    <t>Table XX: Capital Plan</t>
  </si>
  <si>
    <t>TTD Shop Street Facility Priority Improvements</t>
  </si>
  <si>
    <t>TOTAL CAPITAL COSTS ASSOCIATED WITH SERVICE PLAN</t>
  </si>
  <si>
    <t>TOTAL CAPITAL COSTS ASSOCIATED WITH GOVERNANCE RECOMMENDATIONS</t>
  </si>
  <si>
    <t>Bus Stop Signage</t>
  </si>
  <si>
    <t>Vehicle wrap</t>
  </si>
  <si>
    <t>Number of TTD buses in fleet</t>
  </si>
  <si>
    <t>New bus stop panel</t>
  </si>
  <si>
    <t>Cost sourced from Appendix D of Governance Memo</t>
  </si>
  <si>
    <t>TTD bus stop count</t>
  </si>
  <si>
    <t>Other Initial Costs</t>
  </si>
  <si>
    <t>Number of LL fleet</t>
  </si>
  <si>
    <t>Vehicle wrap (lower end peer)</t>
  </si>
  <si>
    <t>Annual peer comparison fee</t>
  </si>
  <si>
    <t>Hiring, onboarding, training new hire</t>
  </si>
  <si>
    <t>Governance Recommendation Capital Costs</t>
  </si>
  <si>
    <t>Governance Recommendation</t>
  </si>
  <si>
    <t>Basin Wide Trip Planning Website</t>
  </si>
  <si>
    <t>Drop in 5307 funds from no more carryover in 27-28</t>
  </si>
  <si>
    <t>What are notes attached to?</t>
  </si>
  <si>
    <t>Inflation assumptions in footnote in text</t>
  </si>
  <si>
    <t>Core Recurring Transit Operating Revenue (FTA, TDA)</t>
  </si>
  <si>
    <t>I think it is best to say recurring</t>
  </si>
  <si>
    <t>OPERATING REVENUE - RECCURING FUNDS</t>
  </si>
  <si>
    <t xml:space="preserve">Question </t>
  </si>
  <si>
    <t>What revenues can we count on for 27-28 for Lake Link?</t>
  </si>
  <si>
    <t>TTD Variable Funds</t>
  </si>
  <si>
    <t>Lake Link Variable Funds</t>
  </si>
  <si>
    <t>Core Recuring Apportioned Funds (FTA, TDA)</t>
  </si>
  <si>
    <t>In text</t>
  </si>
  <si>
    <t>Kira</t>
  </si>
  <si>
    <t>Do we recommend Transportation user fee?</t>
  </si>
  <si>
    <t>Estimated Total Operating Cost (Status Quo)</t>
  </si>
  <si>
    <t>Estimated Total Operating Cost (w/ Service Plan)</t>
  </si>
  <si>
    <t>TTD Operating Costs (Status Quo)</t>
  </si>
  <si>
    <t>Lake Link Operating Costs (Status Quo)</t>
  </si>
  <si>
    <t>TOTAL South Shore Transit Operating Costs (Status Quo)</t>
  </si>
  <si>
    <t>TTD Operating Costs (w/ Service Plan)</t>
  </si>
  <si>
    <t>Lake Link Operating Costs (w/ Service Plan)</t>
  </si>
  <si>
    <t>TOTAL South Shore Transit Operating Costs (w/ Service Plan)</t>
  </si>
  <si>
    <t>Total South Shore Transit Operating Cost (Status Quo)</t>
  </si>
  <si>
    <t>Total South Shore Transit Operating Cost (with Service Plan Elements)</t>
  </si>
  <si>
    <t>Total Reccuring Apportioned Funds</t>
  </si>
  <si>
    <t>South Shore Total Variable Funds</t>
  </si>
  <si>
    <t>OPERATING REVENUE - VARIABLE FUNDS</t>
  </si>
  <si>
    <t>TTD Operating Surplus/Deficit (Status Quo)</t>
  </si>
  <si>
    <t>TTD Operating Surplus/Deficit (w/ Service Plan)</t>
  </si>
  <si>
    <t>Lake Link Operating Surplus/Deficit (Status Quo)</t>
  </si>
  <si>
    <t>Lake Link Operating Surplus/Deficit (w/ Service Plan)</t>
  </si>
  <si>
    <t>Combined South Shore Operating Surplus/Deficit (Status Quo)</t>
  </si>
  <si>
    <t>Combined South Shore Operating Surplus/Deficit (w/ Service Plan)</t>
  </si>
  <si>
    <t>APPENDIX</t>
  </si>
  <si>
    <t>Surplus/Deficit (w/ Service Plan)</t>
  </si>
  <si>
    <t>Surplus/Deficit (Status Quo)</t>
  </si>
  <si>
    <t>HIDE</t>
  </si>
  <si>
    <t>Note 2: Includes TART Connect.</t>
  </si>
  <si>
    <t>OPERATING REVENUE - RECCURING APPORTIONED FUNDS</t>
  </si>
  <si>
    <t>Placer TART Total Variable Funds</t>
  </si>
  <si>
    <t>TNT/TMA Total Variable Funds</t>
  </si>
  <si>
    <t>Placer TART Operating Revenue</t>
  </si>
  <si>
    <t>TNT/TMA Operating Revenue</t>
  </si>
  <si>
    <t>Total North Shore Operating Revenue</t>
  </si>
  <si>
    <t>Placer TART Operating Costs (Status Quo)</t>
  </si>
  <si>
    <t>TNT/TMA Operating Costs (Status Quo)</t>
  </si>
  <si>
    <t>TOTAL North Shore Transit Operating Costs (Status Quo)</t>
  </si>
  <si>
    <t>Placer TART Operating Costs (w/ Service Plan)</t>
  </si>
  <si>
    <t>TNT/TMA Operating Costs (w/ Service Plan)</t>
  </si>
  <si>
    <t>TOTAL North Shore Transit Operating Costs (w/ Service Plan)</t>
  </si>
  <si>
    <t>Placer TART Operating Surplus/Deficit (Status Quo)</t>
  </si>
  <si>
    <t>Placer TART Operating Surplus/Deficit (w/ Service Plan)</t>
  </si>
  <si>
    <t>TNT/TMA Operating Surplus/Deficit (Status Quo)</t>
  </si>
  <si>
    <t>TNT/TMA Operating Surplus/Deficit (w/ Service Plan)</t>
  </si>
  <si>
    <t>Combined North Shore Operating Surplus/Deficit (Status Quo)</t>
  </si>
  <si>
    <t>Combined North Shore Operating Surplus/Deficit (w/ Service Plan)</t>
  </si>
  <si>
    <t>NLTE Reserve</t>
  </si>
  <si>
    <t>Don't use</t>
  </si>
  <si>
    <t>TDA</t>
  </si>
  <si>
    <t>1=.4*X</t>
  </si>
  <si>
    <t xml:space="preserve">      Table 4: Lake Link Financial Forecast </t>
  </si>
  <si>
    <t>TABLE 1: Tahoe Basin Operating Financial Forecast Summary With Recommended Plan Elements</t>
  </si>
  <si>
    <t>TABLE 2: South Shore Operating Costs</t>
  </si>
  <si>
    <t>TABLE A1: South Shore Financial Plan - Operating</t>
  </si>
  <si>
    <t xml:space="preserve">Note 1: FY 25-26 (2026) data sourced from SSTMA Lake Link Year End Forecast (as of August 2026) and funding agreements (where applicable). </t>
  </si>
  <si>
    <t xml:space="preserve">TABLE 4: Lake Link Financial Forecast </t>
  </si>
  <si>
    <t xml:space="preserve">TABLE 3: TTD Financial Forecast </t>
  </si>
  <si>
    <t>TABLE A2: North Shore Financial Plan - Operating</t>
  </si>
  <si>
    <t xml:space="preserve">      </t>
  </si>
  <si>
    <t xml:space="preserve">TABLE 6: Placer TART Financial Forecast </t>
  </si>
  <si>
    <t>*Included to accurately reflect that NLTE budget is balanced for FY 2026-27.</t>
  </si>
  <si>
    <t xml:space="preserve">TABLE 7: TNT/TMA Financial Forecast </t>
  </si>
  <si>
    <t>Program Administration</t>
  </si>
  <si>
    <t>Fares/Misc.</t>
  </si>
  <si>
    <r>
      <t>FTA 5310 (Lake Tahoe UZA)</t>
    </r>
    <r>
      <rPr>
        <vertAlign val="superscript"/>
        <sz val="11"/>
        <color theme="1"/>
        <rFont val="Calibri"/>
        <family val="2"/>
      </rPr>
      <t>1</t>
    </r>
    <r>
      <rPr>
        <sz val="11"/>
        <color theme="1"/>
        <rFont val="Calibri"/>
        <family val="2"/>
      </rPr>
      <t xml:space="preserve"> - Carryover Revenue</t>
    </r>
  </si>
  <si>
    <r>
      <t>FTA 5311 (NV DOT)</t>
    </r>
    <r>
      <rPr>
        <vertAlign val="superscript"/>
        <sz val="11"/>
        <color theme="1"/>
        <rFont val="Calibri"/>
        <family val="2"/>
      </rPr>
      <t>1</t>
    </r>
  </si>
  <si>
    <r>
      <t>Local Transportation Fund (LTF)</t>
    </r>
    <r>
      <rPr>
        <vertAlign val="superscript"/>
        <sz val="11"/>
        <color theme="1"/>
        <rFont val="Calibri"/>
        <family val="2"/>
      </rPr>
      <t>2</t>
    </r>
  </si>
  <si>
    <r>
      <t>State Transit Assistance (STA)</t>
    </r>
    <r>
      <rPr>
        <vertAlign val="superscript"/>
        <sz val="11"/>
        <color theme="1"/>
        <rFont val="Calibri"/>
        <family val="2"/>
      </rPr>
      <t>2</t>
    </r>
  </si>
  <si>
    <r>
      <t>FTA 5307 (Lake Tahoe UZA)</t>
    </r>
    <r>
      <rPr>
        <vertAlign val="superscript"/>
        <sz val="11"/>
        <color theme="1"/>
        <rFont val="Calibri"/>
        <family val="2"/>
      </rPr>
      <t>1</t>
    </r>
    <r>
      <rPr>
        <sz val="11"/>
        <color theme="1"/>
        <rFont val="Calibri"/>
        <family val="2"/>
      </rPr>
      <t xml:space="preserve"> - Formula Based</t>
    </r>
  </si>
  <si>
    <r>
      <t>FTA 5307 (Formally CMAQ Funds)</t>
    </r>
    <r>
      <rPr>
        <vertAlign val="superscript"/>
        <sz val="11"/>
        <color theme="1"/>
        <rFont val="Calibri"/>
        <family val="2"/>
      </rPr>
      <t>1</t>
    </r>
  </si>
  <si>
    <r>
      <t>FTA 5307 (Lake Tahoe UZA)</t>
    </r>
    <r>
      <rPr>
        <vertAlign val="superscript"/>
        <sz val="11"/>
        <color theme="1"/>
        <rFont val="Calibri"/>
        <family val="2"/>
      </rPr>
      <t>1</t>
    </r>
    <r>
      <rPr>
        <sz val="11"/>
        <color theme="1"/>
        <rFont val="Calibri"/>
        <family val="2"/>
      </rPr>
      <t xml:space="preserve"> - Carryover Revenue</t>
    </r>
  </si>
  <si>
    <r>
      <t>FTA 5310 (Lake Tahoe UZA)</t>
    </r>
    <r>
      <rPr>
        <vertAlign val="superscript"/>
        <sz val="11"/>
        <color theme="1"/>
        <rFont val="Calibri"/>
        <family val="2"/>
      </rPr>
      <t>1</t>
    </r>
    <r>
      <rPr>
        <sz val="11"/>
        <color theme="1"/>
        <rFont val="Calibri"/>
        <family val="2"/>
      </rPr>
      <t xml:space="preserve"> - Formula Based</t>
    </r>
  </si>
  <si>
    <r>
      <t>Fare Revenues (Passenger Revenues)</t>
    </r>
    <r>
      <rPr>
        <vertAlign val="superscript"/>
        <sz val="11"/>
        <color theme="1"/>
        <rFont val="Calibri"/>
        <family val="2"/>
      </rPr>
      <t>3</t>
    </r>
  </si>
  <si>
    <r>
      <t>Electrification Credits</t>
    </r>
    <r>
      <rPr>
        <vertAlign val="superscript"/>
        <sz val="11"/>
        <color theme="1"/>
        <rFont val="Calibri"/>
        <family val="2"/>
      </rPr>
      <t>4</t>
    </r>
  </si>
  <si>
    <r>
      <t>Nevada State Parks</t>
    </r>
    <r>
      <rPr>
        <vertAlign val="superscript"/>
        <sz val="11"/>
        <color theme="1"/>
        <rFont val="Calibri"/>
        <family val="2"/>
      </rPr>
      <t>4</t>
    </r>
  </si>
  <si>
    <r>
      <t>Tahoe Douglas Visitor Authority</t>
    </r>
    <r>
      <rPr>
        <vertAlign val="superscript"/>
        <sz val="11"/>
        <color theme="1"/>
        <rFont val="Calibri"/>
        <family val="2"/>
      </rPr>
      <t>4</t>
    </r>
  </si>
  <si>
    <r>
      <t>Interest Revenue</t>
    </r>
    <r>
      <rPr>
        <vertAlign val="superscript"/>
        <sz val="11"/>
        <color theme="1"/>
        <rFont val="Calibri"/>
        <family val="2"/>
      </rPr>
      <t>4</t>
    </r>
  </si>
  <si>
    <r>
      <t>Low Carbon Transit Operations Program (LCTOP) - Operating</t>
    </r>
    <r>
      <rPr>
        <vertAlign val="superscript"/>
        <sz val="11"/>
        <color theme="1"/>
        <rFont val="Calibri"/>
        <family val="2"/>
      </rPr>
      <t>4</t>
    </r>
  </si>
  <si>
    <r>
      <t>Keep Tahoe Blue (Emerald Bay Shuttle)</t>
    </r>
    <r>
      <rPr>
        <vertAlign val="superscript"/>
        <sz val="11"/>
        <color theme="1"/>
        <rFont val="Calibri"/>
        <family val="2"/>
      </rPr>
      <t>5</t>
    </r>
  </si>
  <si>
    <r>
      <t>Carbon Reduction Program (Emerald Bay Shuttle)</t>
    </r>
    <r>
      <rPr>
        <vertAlign val="superscript"/>
        <sz val="11"/>
        <color theme="1"/>
        <rFont val="Calibri"/>
        <family val="2"/>
      </rPr>
      <t>5</t>
    </r>
  </si>
  <si>
    <r>
      <t>El Dorado County (Emerald Bay Shuttle)</t>
    </r>
    <r>
      <rPr>
        <vertAlign val="superscript"/>
        <sz val="11"/>
        <color theme="1"/>
        <rFont val="Calibri"/>
        <family val="2"/>
      </rPr>
      <t>5</t>
    </r>
  </si>
  <si>
    <r>
      <t>Placer County (Emerald Bay Shuttle)</t>
    </r>
    <r>
      <rPr>
        <vertAlign val="superscript"/>
        <sz val="11"/>
        <color theme="1"/>
        <rFont val="Calibri"/>
        <family val="2"/>
      </rPr>
      <t>5</t>
    </r>
  </si>
  <si>
    <r>
      <t>Douglas County</t>
    </r>
    <r>
      <rPr>
        <vertAlign val="superscript"/>
        <sz val="11"/>
        <color theme="1"/>
        <rFont val="Calibri"/>
        <family val="2"/>
      </rPr>
      <t>6</t>
    </r>
  </si>
  <si>
    <r>
      <t>City of South Lake Tahoe</t>
    </r>
    <r>
      <rPr>
        <vertAlign val="superscript"/>
        <sz val="11"/>
        <color theme="1"/>
        <rFont val="Calibri"/>
        <family val="2"/>
      </rPr>
      <t>6</t>
    </r>
  </si>
  <si>
    <r>
      <t>Tahoe Blue Events Center Mitigation Fee</t>
    </r>
    <r>
      <rPr>
        <vertAlign val="superscript"/>
        <sz val="11"/>
        <color theme="1"/>
        <rFont val="Calibri"/>
        <family val="2"/>
      </rPr>
      <t>7</t>
    </r>
  </si>
  <si>
    <r>
      <t>South Lake Tahoe Tourism Improvement District (SLTTID)</t>
    </r>
    <r>
      <rPr>
        <vertAlign val="superscript"/>
        <sz val="11"/>
        <color theme="1"/>
        <rFont val="Calibri"/>
        <family val="2"/>
      </rPr>
      <t>8</t>
    </r>
  </si>
  <si>
    <r>
      <t>Heavenly</t>
    </r>
    <r>
      <rPr>
        <vertAlign val="superscript"/>
        <sz val="11"/>
        <color theme="1"/>
        <rFont val="Calibri"/>
        <family val="2"/>
      </rPr>
      <t>8</t>
    </r>
  </si>
  <si>
    <r>
      <t>Ceasars Entertainment</t>
    </r>
    <r>
      <rPr>
        <vertAlign val="superscript"/>
        <sz val="11"/>
        <color theme="1"/>
        <rFont val="Calibri"/>
        <family val="2"/>
      </rPr>
      <t>8</t>
    </r>
  </si>
  <si>
    <r>
      <t>Roundhill Pines Resort</t>
    </r>
    <r>
      <rPr>
        <vertAlign val="superscript"/>
        <sz val="11"/>
        <color theme="1"/>
        <rFont val="Calibri"/>
        <family val="2"/>
      </rPr>
      <t>8</t>
    </r>
  </si>
  <si>
    <r>
      <t>Advance Learning</t>
    </r>
    <r>
      <rPr>
        <vertAlign val="superscript"/>
        <sz val="11"/>
        <color theme="1"/>
        <rFont val="Calibri"/>
        <family val="2"/>
      </rPr>
      <t>8</t>
    </r>
  </si>
  <si>
    <r>
      <t>Lake Tahoe Visitor's Authority</t>
    </r>
    <r>
      <rPr>
        <vertAlign val="superscript"/>
        <sz val="11"/>
        <color theme="1"/>
        <rFont val="Calibri"/>
        <family val="2"/>
      </rPr>
      <t>8</t>
    </r>
  </si>
  <si>
    <r>
      <t>Lake Tahoe Community College (LTCC)</t>
    </r>
    <r>
      <rPr>
        <vertAlign val="superscript"/>
        <sz val="11"/>
        <color theme="1"/>
        <rFont val="Calibri"/>
        <family val="2"/>
      </rPr>
      <t>8</t>
    </r>
  </si>
  <si>
    <t>Note 3: Base Case operating costs reflect 2026 and 2027 operating seasons and correspond with OWP FYs and contract costs.</t>
  </si>
  <si>
    <t>TABLE 8: Capital Costs Associated with Service Plan - By Expenditure Type</t>
  </si>
  <si>
    <t>TABLE 9: Capital Costs Associated with Service Plan - By Service Recommendation</t>
  </si>
  <si>
    <t>TABLE 10: Capital Costs Associated with Governance Recommendations</t>
  </si>
  <si>
    <t>TABLE 5: North Shore Operating Costs</t>
  </si>
  <si>
    <t>Revenue Conditions</t>
  </si>
  <si>
    <t>Revenue Sources</t>
  </si>
  <si>
    <t>Match Requirements</t>
  </si>
  <si>
    <t>50% non-federal</t>
  </si>
  <si>
    <t>Can only be applied to rural routes (19x and 22)</t>
  </si>
  <si>
    <t>Can only be applied to rural routes</t>
  </si>
  <si>
    <t>Can only be applied to ADA routes</t>
  </si>
  <si>
    <t>California funding ideally used in CA, but can be used as federal match</t>
  </si>
  <si>
    <t>no match requirement</t>
  </si>
  <si>
    <t>not real money</t>
  </si>
  <si>
    <t>not real money only used as match for other sources</t>
  </si>
  <si>
    <t>Only applied to Route 28</t>
  </si>
  <si>
    <t xml:space="preserve">11.47% non-federal </t>
  </si>
  <si>
    <t>ideally applied only to NV routes</t>
  </si>
  <si>
    <t>Ideally used only in CA</t>
  </si>
  <si>
    <t>Only applied to TART NV route</t>
  </si>
  <si>
    <t>Ideally used only in NV</t>
  </si>
  <si>
    <t>Ideally used only in Douglas County</t>
  </si>
  <si>
    <t>Ideally used only in the City of South Lake Tahoe</t>
  </si>
  <si>
    <t>Ideally used only in Placer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</si>
</sst>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0_);_(* \(#,##0.0\);_(* &quot;-&quot;??_);_(@_)"/>
    <numFmt numFmtId="166" formatCode="_(* #,##0_);_(* \(#,##0\);_(* &quot;-&quot;??_);_(@_)"/>
    <numFmt numFmtId="167" formatCode="_(* #,##0.000_);_(* \(#,##0.000\);_(* &quot;-&quot;??_);_(@_)"/>
    <numFmt numFmtId="168" formatCode="_(&quot;$&quot;* #,##0.000_);_(&quot;$&quot;* \(#,##0.000\);_(&quot;$&quot;* &quot;-&quot;??_);_(@_)"/>
    <numFmt numFmtId="169" formatCode="&quot;$&quot;#,##0.00"/>
    <numFmt numFmtId="170" formatCode="&quot;$&quot;#,##0"/>
    <numFmt numFmtId="171" formatCode="_([$$-409]* #,##0_);_([$$-409]* \(#,##0\);_([$$-409]* &quot;-&quot;??_);_(@_)"/>
    <numFmt numFmtId="172" formatCode="_([$$-409]* #,##0.00_);_([$$-409]* \(#,##0.00\);_([$$-409]* &quot;-&quot;??_);_(@_)"/>
    <numFmt numFmtId="173" formatCode="_([$$-409]* #,##0_);_([$$-409]* \(#,##0\);_([$$-409]* &quot;-&quot;_);_(@_)"/>
    <numFmt numFmtId="174" formatCode="0.000%"/>
    <numFmt numFmtId="175" formatCode="0.0%"/>
    <numFmt numFmtId="176" formatCode="&quot;$&quot;#,##0.0"/>
    <numFmt numFmtId="177" formatCode="[$$-409]\ #,##0.00"/>
    <numFmt numFmtId="178" formatCode="[$$-409]#,##0"/>
    <numFmt numFmtId="179" formatCode="[$$-409]\ #,##0.0"/>
    <numFmt numFmtId="180" formatCode="&quot;$&quot;#,##0.0_);\(&quot;$&quot;#,##0.0\)"/>
    <numFmt numFmtId="181" formatCode="[$$-409]#,##0.00"/>
    <numFmt numFmtId="182" formatCode="[$$-409]#,##0.0"/>
    <numFmt numFmtId="183" formatCode="0.000"/>
    <numFmt numFmtId="184" formatCode="[$$-409]#,##0_);[Red]\([$$-409]#,##0\)"/>
  </numFmts>
  <fonts count="115" x14ac:knownFonts="1">
    <font>
      <sz val="11"/>
      <color theme="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b/>
      <sz val="14"/>
      <color theme="1"/>
      <name val="Calibri"/>
      <family val="2"/>
      <scheme val="minor"/>
    </font>
    <font>
      <b/>
      <sz val="8"/>
      <color theme="1"/>
      <name val="Calibri"/>
      <family val="2"/>
      <scheme val="minor"/>
    </font>
    <font>
      <sz val="11"/>
      <name val="Calibri"/>
      <family val="2"/>
      <scheme val="minor"/>
    </font>
    <font>
      <sz val="10"/>
      <name val="Calibri"/>
      <family val="2"/>
      <scheme val="minor"/>
    </font>
    <font>
      <b/>
      <sz val="11"/>
      <color rgb="FFFF0000"/>
      <name val="Calibri"/>
      <family val="2"/>
      <scheme val="minor"/>
    </font>
    <font>
      <sz val="11"/>
      <color rgb="FFFF0000"/>
      <name val="Calibri"/>
      <family val="2"/>
      <scheme val="minor"/>
    </font>
    <font>
      <sz val="11"/>
      <color rgb="FF000000"/>
      <name val="Calibri"/>
      <family val="2"/>
      <scheme val="minor"/>
    </font>
    <font>
      <sz val="8"/>
      <color theme="1"/>
      <name val="Calibri"/>
      <family val="2"/>
      <scheme val="minor"/>
    </font>
    <font>
      <b/>
      <sz val="11"/>
      <name val="Calibri"/>
      <family val="2"/>
      <scheme val="minor"/>
    </font>
    <font>
      <sz val="10"/>
      <color indexed="8"/>
      <name val="Arial"/>
      <family val="2"/>
    </font>
    <font>
      <b/>
      <sz val="12"/>
      <name val="Arial"/>
      <family val="2"/>
    </font>
    <font>
      <i/>
      <sz val="11"/>
      <name val="Arial"/>
      <family val="2"/>
    </font>
    <font>
      <b/>
      <i/>
      <u/>
      <sz val="14"/>
      <color rgb="FF000000"/>
      <name val="Calibri"/>
      <family val="2"/>
    </font>
    <font>
      <i/>
      <sz val="12"/>
      <color theme="1"/>
      <name val="Calibri"/>
      <family val="2"/>
      <scheme val="minor"/>
    </font>
    <font>
      <i/>
      <u/>
      <sz val="12"/>
      <color theme="1"/>
      <name val="Calibri"/>
      <family val="2"/>
      <scheme val="minor"/>
    </font>
    <font>
      <b/>
      <i/>
      <sz val="12"/>
      <color theme="1"/>
      <name val="Calibri"/>
      <family val="2"/>
      <scheme val="minor"/>
    </font>
    <font>
      <i/>
      <sz val="11"/>
      <color theme="1"/>
      <name val="Calibri"/>
      <family val="2"/>
      <scheme val="minor"/>
    </font>
    <font>
      <sz val="12"/>
      <color theme="1"/>
      <name val="Calibri"/>
      <family val="2"/>
      <scheme val="minor"/>
    </font>
    <font>
      <b/>
      <sz val="8"/>
      <color rgb="FF000000"/>
      <name val="Calibri"/>
      <family val="2"/>
    </font>
    <font>
      <sz val="8"/>
      <color rgb="FF000000"/>
      <name val="Calibri"/>
      <family val="2"/>
    </font>
    <font>
      <u/>
      <sz val="11"/>
      <color theme="10"/>
      <name val="Calibri"/>
      <family val="2"/>
      <scheme val="minor"/>
    </font>
    <font>
      <b/>
      <sz val="11"/>
      <color theme="0"/>
      <name val="Calibri"/>
      <family val="2"/>
      <scheme val="minor"/>
    </font>
    <font>
      <sz val="11"/>
      <name val="Calibri"/>
      <family val="2"/>
    </font>
    <font>
      <b/>
      <sz val="11"/>
      <name val="Calibri"/>
      <family val="2"/>
    </font>
    <font>
      <sz val="11"/>
      <color rgb="FFFF0000"/>
      <name val="Calibri"/>
      <family val="2"/>
    </font>
    <font>
      <b/>
      <sz val="11"/>
      <color theme="1"/>
      <name val="Calibri"/>
      <family val="2"/>
    </font>
    <font>
      <b/>
      <sz val="11"/>
      <color theme="8" tint="-0.249977111117893"/>
      <name val="Calibri"/>
      <family val="2"/>
      <scheme val="minor"/>
    </font>
    <font>
      <b/>
      <sz val="16"/>
      <color theme="4"/>
      <name val="Calibri"/>
      <family val="2"/>
      <scheme val="minor"/>
    </font>
    <font>
      <sz val="14"/>
      <color theme="1"/>
      <name val="Calibri"/>
      <family val="2"/>
      <scheme val="minor"/>
    </font>
    <font>
      <sz val="14"/>
      <color rgb="FFFF0000"/>
      <name val="Calibri"/>
      <family val="2"/>
      <scheme val="minor"/>
    </font>
    <font>
      <u/>
      <sz val="14"/>
      <color theme="10"/>
      <name val="Calibri"/>
      <family val="2"/>
      <scheme val="minor"/>
    </font>
    <font>
      <b/>
      <sz val="14"/>
      <name val="Calibri"/>
      <family val="2"/>
      <scheme val="minor"/>
    </font>
    <font>
      <sz val="14"/>
      <name val="Calibri"/>
      <family val="2"/>
      <scheme val="minor"/>
    </font>
    <font>
      <b/>
      <sz val="14"/>
      <color rgb="FFFF0000"/>
      <name val="Calibri"/>
      <family val="2"/>
      <scheme val="minor"/>
    </font>
    <font>
      <sz val="9"/>
      <color theme="1"/>
      <name val="Calibri"/>
      <family val="2"/>
      <scheme val="minor"/>
    </font>
    <font>
      <b/>
      <sz val="14"/>
      <color theme="0"/>
      <name val="Calibri"/>
      <family val="2"/>
      <scheme val="minor"/>
    </font>
    <font>
      <sz val="10"/>
      <name val="Arial"/>
      <family val="2"/>
    </font>
    <font>
      <b/>
      <sz val="10"/>
      <name val="Arial"/>
      <family val="2"/>
    </font>
    <font>
      <sz val="12"/>
      <name val="Arial"/>
      <family val="2"/>
    </font>
    <font>
      <sz val="11"/>
      <color theme="1"/>
      <name val="Arial"/>
      <family val="2"/>
    </font>
    <font>
      <b/>
      <sz val="9"/>
      <color theme="0"/>
      <name val="Calibri"/>
      <family val="2"/>
      <scheme val="minor"/>
    </font>
    <font>
      <b/>
      <sz val="9"/>
      <color theme="1"/>
      <name val="Calibri"/>
      <family val="2"/>
      <scheme val="minor"/>
    </font>
    <font>
      <b/>
      <sz val="11"/>
      <color theme="0"/>
      <name val="Calibri"/>
      <family val="2"/>
    </font>
    <font>
      <sz val="14"/>
      <color theme="0"/>
      <name val="Calibri"/>
      <family val="2"/>
      <scheme val="minor"/>
    </font>
    <font>
      <b/>
      <sz val="12"/>
      <color theme="0"/>
      <name val="Calibri"/>
      <family val="2"/>
      <scheme val="minor"/>
    </font>
    <font>
      <b/>
      <sz val="14"/>
      <color rgb="FFC00000"/>
      <name val="Calibri"/>
      <family val="2"/>
      <scheme val="minor"/>
    </font>
    <font>
      <u/>
      <sz val="11"/>
      <color theme="1"/>
      <name val="Calibri"/>
      <family val="2"/>
      <scheme val="minor"/>
    </font>
    <font>
      <sz val="11"/>
      <color theme="0"/>
      <name val="Calibri"/>
      <family val="2"/>
      <scheme val="minor"/>
    </font>
    <font>
      <b/>
      <sz val="14"/>
      <color theme="0"/>
      <name val="Cambria"/>
      <family val="1"/>
    </font>
    <font>
      <sz val="13"/>
      <color theme="0"/>
      <name val="Calibri"/>
      <family val="2"/>
      <scheme val="minor"/>
    </font>
    <font>
      <i/>
      <sz val="11"/>
      <color theme="0"/>
      <name val="Calibri"/>
      <family val="2"/>
      <scheme val="minor"/>
    </font>
    <font>
      <b/>
      <sz val="12"/>
      <color theme="0"/>
      <name val="Calibri"/>
      <family val="2"/>
    </font>
    <font>
      <b/>
      <sz val="12"/>
      <color rgb="FFFF0000"/>
      <name val="Calibri"/>
      <family val="2"/>
    </font>
    <font>
      <i/>
      <sz val="11"/>
      <name val="Calibri"/>
      <family val="2"/>
      <scheme val="minor"/>
    </font>
    <font>
      <vertAlign val="superscript"/>
      <sz val="11"/>
      <name val="Calibri"/>
      <family val="2"/>
    </font>
    <font>
      <b/>
      <i/>
      <sz val="11"/>
      <name val="Calibri"/>
      <family val="2"/>
      <scheme val="minor"/>
    </font>
    <font>
      <i/>
      <sz val="11"/>
      <name val="Calibri"/>
      <family val="2"/>
    </font>
    <font>
      <b/>
      <i/>
      <sz val="11"/>
      <name val="Calibri"/>
      <family val="2"/>
    </font>
    <font>
      <i/>
      <sz val="11"/>
      <color rgb="FFFF0000"/>
      <name val="Calibri"/>
      <family val="2"/>
    </font>
    <font>
      <b/>
      <sz val="10"/>
      <color theme="0"/>
      <name val="Calibri Light"/>
      <family val="2"/>
    </font>
    <font>
      <b/>
      <sz val="12"/>
      <name val="Calibri"/>
      <family val="2"/>
    </font>
    <font>
      <i/>
      <sz val="11"/>
      <color theme="3" tint="0.39997558519241921"/>
      <name val="Calibri"/>
      <family val="2"/>
      <scheme val="minor"/>
    </font>
    <font>
      <sz val="10"/>
      <name val="Calibri"/>
      <family val="2"/>
    </font>
    <font>
      <i/>
      <sz val="10"/>
      <name val="Calibri"/>
      <family val="2"/>
    </font>
    <font>
      <sz val="11"/>
      <color theme="3" tint="0.39997558519241921"/>
      <name val="Calibri"/>
      <family val="2"/>
      <scheme val="minor"/>
    </font>
    <font>
      <b/>
      <sz val="12"/>
      <color rgb="FFFF0000"/>
      <name val="Calibri"/>
      <family val="2"/>
      <scheme val="minor"/>
    </font>
    <font>
      <b/>
      <sz val="11"/>
      <color rgb="FFFF0000"/>
      <name val="Calibri"/>
      <family val="2"/>
    </font>
    <font>
      <sz val="13"/>
      <color theme="0"/>
      <name val="Calibri"/>
      <family val="2"/>
    </font>
    <font>
      <sz val="12"/>
      <color theme="0"/>
      <name val="Calibri"/>
      <family val="2"/>
    </font>
    <font>
      <sz val="12"/>
      <name val="Calibri"/>
      <family val="2"/>
      <scheme val="minor"/>
    </font>
    <font>
      <b/>
      <sz val="12"/>
      <name val="Calibri"/>
      <family val="2"/>
      <scheme val="minor"/>
    </font>
    <font>
      <i/>
      <sz val="11"/>
      <color theme="0"/>
      <name val="Calibri"/>
      <family val="2"/>
    </font>
    <font>
      <vertAlign val="superscript"/>
      <sz val="11"/>
      <color theme="1"/>
      <name val="Calibri"/>
      <family val="2"/>
    </font>
    <font>
      <sz val="11"/>
      <color theme="9"/>
      <name val="Calibri"/>
      <family val="2"/>
      <scheme val="minor"/>
    </font>
    <font>
      <i/>
      <sz val="11"/>
      <color theme="1"/>
      <name val="Calibri"/>
      <family val="2"/>
    </font>
    <font>
      <sz val="10"/>
      <color theme="1"/>
      <name val="Calibri"/>
      <family val="2"/>
    </font>
    <font>
      <sz val="11"/>
      <color theme="8" tint="-0.499984740745262"/>
      <name val="Calibri"/>
      <family val="2"/>
      <scheme val="minor"/>
    </font>
    <font>
      <i/>
      <sz val="11"/>
      <color rgb="FFFF0000"/>
      <name val="Calibri"/>
      <family val="2"/>
      <scheme val="minor"/>
    </font>
    <font>
      <b/>
      <vertAlign val="superscript"/>
      <sz val="11"/>
      <name val="Calibri"/>
      <family val="2"/>
      <scheme val="minor"/>
    </font>
    <font>
      <sz val="12"/>
      <name val="Calibri"/>
      <family val="2"/>
    </font>
    <font>
      <b/>
      <i/>
      <sz val="14"/>
      <color theme="1"/>
      <name val="Calibri"/>
      <family val="2"/>
      <scheme val="minor"/>
    </font>
    <font>
      <sz val="8"/>
      <name val="Calibri"/>
      <family val="2"/>
      <scheme val="minor"/>
    </font>
    <font>
      <i/>
      <vertAlign val="superscript"/>
      <sz val="11"/>
      <name val="Calibri"/>
      <family val="2"/>
    </font>
    <font>
      <b/>
      <u/>
      <sz val="14"/>
      <color theme="1"/>
      <name val="Calibri"/>
      <family val="2"/>
      <scheme val="minor"/>
    </font>
    <font>
      <sz val="9"/>
      <color indexed="81"/>
      <name val="Tahoma"/>
      <family val="2"/>
    </font>
    <font>
      <u/>
      <sz val="10"/>
      <name val="Arial"/>
      <family val="2"/>
    </font>
    <font>
      <sz val="9"/>
      <name val="Arial"/>
      <family val="2"/>
    </font>
    <font>
      <sz val="11"/>
      <color rgb="FF00B050"/>
      <name val="Calibri"/>
      <family val="2"/>
      <scheme val="minor"/>
    </font>
    <font>
      <sz val="10"/>
      <color theme="9" tint="-0.249977111117893"/>
      <name val="Arial"/>
      <family val="2"/>
    </font>
    <font>
      <sz val="10"/>
      <color theme="1"/>
      <name val="Arial"/>
      <family val="2"/>
    </font>
    <font>
      <sz val="11"/>
      <color theme="9" tint="-0.249977111117893"/>
      <name val="Calibri"/>
      <family val="2"/>
      <scheme val="minor"/>
    </font>
    <font>
      <b/>
      <sz val="9"/>
      <name val="Arial"/>
      <family val="2"/>
    </font>
    <font>
      <b/>
      <sz val="9"/>
      <color indexed="81"/>
      <name val="Tahoma"/>
      <family val="2"/>
    </font>
    <font>
      <b/>
      <sz val="10"/>
      <name val="Calibri Light"/>
      <family val="2"/>
    </font>
    <font>
      <b/>
      <sz val="16"/>
      <color theme="1"/>
      <name val="Calibri"/>
      <family val="2"/>
    </font>
    <font>
      <b/>
      <sz val="12"/>
      <color theme="1"/>
      <name val="Calibri"/>
      <family val="2"/>
    </font>
    <font>
      <sz val="10"/>
      <color rgb="FFFF0000"/>
      <name val="Calibri"/>
      <family val="2"/>
      <scheme val="minor"/>
    </font>
    <font>
      <b/>
      <i/>
      <sz val="11"/>
      <color theme="1"/>
      <name val="Calibri"/>
      <family val="2"/>
    </font>
    <font>
      <sz val="11"/>
      <color rgb="FF242424"/>
      <name val="Calibri"/>
      <family val="2"/>
      <scheme val="minor"/>
    </font>
    <font>
      <b/>
      <sz val="16"/>
      <color theme="0"/>
      <name val="Cambria"/>
      <family val="1"/>
    </font>
    <font>
      <b/>
      <sz val="20"/>
      <color theme="0"/>
      <name val="Cambria"/>
      <family val="1"/>
    </font>
    <font>
      <b/>
      <sz val="18"/>
      <color theme="0"/>
      <name val="Cambria"/>
      <family val="1"/>
    </font>
  </fonts>
  <fills count="3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rgb="FF3E4D60"/>
        <bgColor indexed="64"/>
      </patternFill>
    </fill>
    <fill>
      <patternFill patternType="solid">
        <fgColor theme="4"/>
        <bgColor indexed="64"/>
      </patternFill>
    </fill>
    <fill>
      <patternFill patternType="solid">
        <fgColor theme="4" tint="-0.249977111117893"/>
        <bgColor indexed="64"/>
      </patternFill>
    </fill>
    <fill>
      <patternFill patternType="solid">
        <fgColor rgb="FF006666"/>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indexed="41"/>
        <bgColor indexed="64"/>
      </patternFill>
    </fill>
    <fill>
      <patternFill patternType="solid">
        <fgColor indexed="9"/>
        <bgColor indexed="64"/>
      </patternFill>
    </fill>
    <fill>
      <patternFill patternType="solid">
        <fgColor theme="4" tint="0.79998168889431442"/>
        <bgColor indexed="64"/>
      </patternFill>
    </fill>
    <fill>
      <patternFill patternType="solid">
        <fgColor rgb="FFFFC000"/>
        <bgColor indexed="64"/>
      </patternFill>
    </fill>
    <fill>
      <patternFill patternType="solid">
        <fgColor theme="3" tint="0.89999084444715716"/>
        <bgColor indexed="64"/>
      </patternFill>
    </fill>
    <fill>
      <patternFill patternType="solid">
        <fgColor theme="0" tint="-0.499984740745262"/>
        <bgColor indexed="64"/>
      </patternFill>
    </fill>
    <fill>
      <patternFill patternType="solid">
        <fgColor rgb="FFE9D9F9"/>
        <bgColor indexed="64"/>
      </patternFill>
    </fill>
  </fills>
  <borders count="127">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diagonal/>
    </border>
    <border>
      <left/>
      <right/>
      <top/>
      <bottom style="medium">
        <color indexed="64"/>
      </bottom>
      <diagonal/>
    </border>
    <border>
      <left/>
      <right/>
      <top style="thin">
        <color indexed="64"/>
      </top>
      <bottom/>
      <diagonal/>
    </border>
    <border>
      <left/>
      <right style="medium">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rgb="FF000000"/>
      </top>
      <bottom style="double">
        <color rgb="FF000000"/>
      </bottom>
      <diagonal/>
    </border>
    <border>
      <left/>
      <right style="thin">
        <color indexed="64"/>
      </right>
      <top/>
      <bottom style="thin">
        <color rgb="FF000000"/>
      </bottom>
      <diagonal/>
    </border>
    <border>
      <left style="thin">
        <color indexed="64"/>
      </left>
      <right style="thin">
        <color indexed="64"/>
      </right>
      <top/>
      <bottom style="double">
        <color indexed="64"/>
      </bottom>
      <diagonal/>
    </border>
    <border>
      <left/>
      <right style="thin">
        <color indexed="64"/>
      </right>
      <top/>
      <bottom style="double">
        <color indexed="64"/>
      </bottom>
      <diagonal/>
    </border>
    <border>
      <left/>
      <right/>
      <top/>
      <bottom style="double">
        <color indexed="64"/>
      </bottom>
      <diagonal/>
    </border>
    <border>
      <left/>
      <right style="medium">
        <color indexed="64"/>
      </right>
      <top style="medium">
        <color rgb="FF000000"/>
      </top>
      <bottom/>
      <diagonal/>
    </border>
    <border>
      <left style="medium">
        <color indexed="64"/>
      </left>
      <right style="medium">
        <color indexed="64"/>
      </right>
      <top style="medium">
        <color rgb="FF000000"/>
      </top>
      <bottom/>
      <diagonal/>
    </border>
    <border>
      <left/>
      <right/>
      <top style="thin">
        <color indexed="64"/>
      </top>
      <bottom style="medium">
        <color rgb="FF000000"/>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right/>
      <top style="thin">
        <color rgb="FF000000"/>
      </top>
      <bottom style="double">
        <color rgb="FF000000"/>
      </bottom>
      <diagonal/>
    </border>
    <border>
      <left style="thin">
        <color rgb="FF000000"/>
      </left>
      <right/>
      <top style="thin">
        <color rgb="FF000000"/>
      </top>
      <bottom style="double">
        <color rgb="FF000000"/>
      </bottom>
      <diagonal/>
    </border>
    <border>
      <left/>
      <right style="thin">
        <color rgb="FF000000"/>
      </right>
      <top/>
      <bottom style="double">
        <color indexed="64"/>
      </bottom>
      <diagonal/>
    </border>
    <border>
      <left style="thin">
        <color rgb="FF000000"/>
      </left>
      <right style="thin">
        <color rgb="FF000000"/>
      </right>
      <top/>
      <bottom style="thin">
        <color rgb="FF000000"/>
      </bottom>
      <diagonal/>
    </border>
    <border>
      <left style="thin">
        <color rgb="FF000000"/>
      </left>
      <right/>
      <top style="thin">
        <color indexed="64"/>
      </top>
      <bottom style="double">
        <color indexed="64"/>
      </bottom>
      <diagonal/>
    </border>
    <border>
      <left/>
      <right style="thin">
        <color rgb="FF000000"/>
      </right>
      <top style="thin">
        <color indexed="64"/>
      </top>
      <bottom style="double">
        <color indexed="64"/>
      </bottom>
      <diagonal/>
    </border>
    <border>
      <left style="thin">
        <color rgb="FF000000"/>
      </left>
      <right/>
      <top/>
      <bottom style="double">
        <color indexed="64"/>
      </bottom>
      <diagonal/>
    </border>
    <border>
      <left/>
      <right/>
      <top/>
      <bottom style="double">
        <color rgb="FF000000"/>
      </bottom>
      <diagonal/>
    </border>
    <border>
      <left style="thin">
        <color rgb="FF000000"/>
      </left>
      <right/>
      <top/>
      <bottom style="double">
        <color rgb="FF000000"/>
      </bottom>
      <diagonal/>
    </border>
    <border>
      <left/>
      <right style="thin">
        <color rgb="FF000000"/>
      </right>
      <top/>
      <bottom style="double">
        <color rgb="FF000000"/>
      </bottom>
      <diagonal/>
    </border>
    <border>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thin">
        <color rgb="FF000000"/>
      </left>
      <right/>
      <top style="thin">
        <color indexed="64"/>
      </top>
      <bottom style="medium">
        <color rgb="FF000000"/>
      </bottom>
      <diagonal/>
    </border>
    <border>
      <left/>
      <right style="thin">
        <color rgb="FF000000"/>
      </right>
      <top style="thin">
        <color indexed="64"/>
      </top>
      <bottom style="medium">
        <color rgb="FF000000"/>
      </bottom>
      <diagonal/>
    </border>
    <border>
      <left style="thin">
        <color indexed="64"/>
      </left>
      <right style="thin">
        <color rgb="FF000000"/>
      </right>
      <top style="thin">
        <color indexed="64"/>
      </top>
      <bottom style="double">
        <color indexed="64"/>
      </bottom>
      <diagonal/>
    </border>
    <border>
      <left style="thin">
        <color indexed="64"/>
      </left>
      <right style="thin">
        <color rgb="FF000000"/>
      </right>
      <top style="thin">
        <color rgb="FF000000"/>
      </top>
      <bottom style="double">
        <color rgb="FF000000"/>
      </bottom>
      <diagonal/>
    </border>
    <border>
      <left style="thin">
        <color indexed="64"/>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auto="1"/>
      </top>
      <bottom style="thin">
        <color auto="1"/>
      </bottom>
      <diagonal/>
    </border>
    <border>
      <left style="medium">
        <color indexed="64"/>
      </left>
      <right/>
      <top/>
      <bottom style="thin">
        <color auto="1"/>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medium">
        <color rgb="FFC00000"/>
      </left>
      <right/>
      <top/>
      <bottom/>
      <diagonal/>
    </border>
    <border>
      <left/>
      <right style="medium">
        <color rgb="FFC00000"/>
      </right>
      <top/>
      <bottom/>
      <diagonal/>
    </border>
    <border>
      <left style="medium">
        <color rgb="FFC00000"/>
      </left>
      <right/>
      <top style="medium">
        <color rgb="FFC00000"/>
      </top>
      <bottom style="thin">
        <color indexed="64"/>
      </bottom>
      <diagonal/>
    </border>
    <border>
      <left style="thin">
        <color auto="1"/>
      </left>
      <right style="thin">
        <color auto="1"/>
      </right>
      <top style="medium">
        <color rgb="FFC00000"/>
      </top>
      <bottom style="thin">
        <color auto="1"/>
      </bottom>
      <diagonal/>
    </border>
    <border>
      <left style="thin">
        <color auto="1"/>
      </left>
      <right style="medium">
        <color indexed="64"/>
      </right>
      <top style="medium">
        <color rgb="FFC00000"/>
      </top>
      <bottom style="thin">
        <color auto="1"/>
      </bottom>
      <diagonal/>
    </border>
    <border>
      <left/>
      <right style="medium">
        <color rgb="FFC00000"/>
      </right>
      <top style="medium">
        <color rgb="FFC00000"/>
      </top>
      <bottom/>
      <diagonal/>
    </border>
    <border>
      <left style="medium">
        <color rgb="FFC00000"/>
      </left>
      <right/>
      <top/>
      <bottom style="medium">
        <color rgb="FFC00000"/>
      </bottom>
      <diagonal/>
    </border>
    <border>
      <left/>
      <right/>
      <top/>
      <bottom style="medium">
        <color rgb="FFC00000"/>
      </bottom>
      <diagonal/>
    </border>
    <border>
      <left/>
      <right style="thin">
        <color indexed="64"/>
      </right>
      <top/>
      <bottom style="medium">
        <color rgb="FFC00000"/>
      </bottom>
      <diagonal/>
    </border>
    <border>
      <left/>
      <right style="medium">
        <color rgb="FFC00000"/>
      </right>
      <top/>
      <bottom style="medium">
        <color rgb="FFC00000"/>
      </bottom>
      <diagonal/>
    </border>
    <border>
      <left/>
      <right/>
      <top style="medium">
        <color rgb="FFC00000"/>
      </top>
      <bottom style="thin">
        <color indexed="64"/>
      </bottom>
      <diagonal/>
    </border>
    <border>
      <left style="thin">
        <color indexed="64"/>
      </left>
      <right/>
      <top/>
      <bottom style="medium">
        <color indexed="64"/>
      </bottom>
      <diagonal/>
    </border>
    <border>
      <left style="medium">
        <color indexed="64"/>
      </left>
      <right/>
      <top style="thin">
        <color indexed="64"/>
      </top>
      <bottom/>
      <diagonal/>
    </border>
  </borders>
  <cellStyleXfs count="23">
    <xf numFmtId="0" fontId="0" fillId="0" borderId="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20" fillId="0" borderId="0"/>
    <xf numFmtId="0" fontId="22" fillId="0" borderId="0"/>
    <xf numFmtId="0" fontId="7" fillId="0" borderId="0"/>
    <xf numFmtId="44" fontId="7" fillId="0" borderId="0" applyFont="0" applyFill="0" applyBorder="0" applyAlignment="0" applyProtection="0"/>
    <xf numFmtId="9" fontId="7" fillId="0" borderId="0" applyFont="0" applyFill="0" applyBorder="0" applyAlignment="0" applyProtection="0"/>
    <xf numFmtId="0" fontId="33" fillId="0" borderId="0" applyNumberFormat="0" applyFill="0" applyBorder="0" applyAlignment="0" applyProtection="0"/>
    <xf numFmtId="177" fontId="49" fillId="0" borderId="0"/>
    <xf numFmtId="177" fontId="51" fillId="0" borderId="0">
      <alignment vertical="top"/>
    </xf>
    <xf numFmtId="177" fontId="51" fillId="0" borderId="0" applyFont="0" applyFill="0" applyBorder="0" applyAlignment="0" applyProtection="0"/>
    <xf numFmtId="0" fontId="7" fillId="0" borderId="0"/>
    <xf numFmtId="44" fontId="49"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44" fontId="7" fillId="0" borderId="0" applyFont="0" applyFill="0" applyBorder="0" applyAlignment="0" applyProtection="0"/>
    <xf numFmtId="0" fontId="49" fillId="0" borderId="0"/>
    <xf numFmtId="44" fontId="102" fillId="0" borderId="0" applyFont="0" applyFill="0" applyBorder="0" applyAlignment="0" applyProtection="0"/>
    <xf numFmtId="0" fontId="4" fillId="0" borderId="0"/>
    <xf numFmtId="44" fontId="4" fillId="0" borderId="0" applyFont="0" applyFill="0" applyBorder="0" applyAlignment="0" applyProtection="0"/>
  </cellStyleXfs>
  <cellXfs count="1405">
    <xf numFmtId="0" fontId="0" fillId="0" borderId="0" xfId="0"/>
    <xf numFmtId="164" fontId="0" fillId="0" borderId="0" xfId="2" applyNumberFormat="1" applyFont="1"/>
    <xf numFmtId="166" fontId="0" fillId="0" borderId="0" xfId="1" applyNumberFormat="1" applyFont="1"/>
    <xf numFmtId="164" fontId="8" fillId="2" borderId="0" xfId="2" applyNumberFormat="1" applyFont="1" applyFill="1" applyBorder="1" applyAlignment="1">
      <alignment horizontal="center"/>
    </xf>
    <xf numFmtId="166" fontId="8" fillId="2" borderId="0" xfId="1" applyNumberFormat="1" applyFont="1" applyFill="1" applyBorder="1" applyAlignment="1">
      <alignment horizontal="center" vertical="center"/>
    </xf>
    <xf numFmtId="164" fontId="8" fillId="2" borderId="0" xfId="2" applyNumberFormat="1" applyFont="1" applyFill="1" applyBorder="1" applyAlignment="1">
      <alignment horizontal="center" vertical="center"/>
    </xf>
    <xf numFmtId="165" fontId="0" fillId="2" borderId="0" xfId="1" applyNumberFormat="1" applyFont="1" applyFill="1" applyBorder="1"/>
    <xf numFmtId="166" fontId="0" fillId="2" borderId="0" xfId="1" applyNumberFormat="1" applyFont="1" applyFill="1" applyBorder="1"/>
    <xf numFmtId="165" fontId="8" fillId="2" borderId="0" xfId="1" applyNumberFormat="1" applyFont="1" applyFill="1" applyBorder="1" applyAlignment="1">
      <alignment horizontal="center"/>
    </xf>
    <xf numFmtId="165" fontId="8" fillId="2" borderId="0" xfId="2" applyNumberFormat="1" applyFont="1" applyFill="1" applyBorder="1" applyAlignment="1">
      <alignment horizontal="center"/>
    </xf>
    <xf numFmtId="164" fontId="0" fillId="2" borderId="0" xfId="2" applyNumberFormat="1" applyFont="1" applyFill="1" applyBorder="1"/>
    <xf numFmtId="164" fontId="10" fillId="2" borderId="0" xfId="2" applyNumberFormat="1" applyFont="1" applyFill="1" applyBorder="1" applyAlignment="1">
      <alignment horizontal="center"/>
    </xf>
    <xf numFmtId="0" fontId="8" fillId="2" borderId="1" xfId="0" applyFont="1" applyFill="1" applyBorder="1"/>
    <xf numFmtId="165" fontId="8" fillId="2" borderId="1" xfId="1" applyNumberFormat="1" applyFont="1" applyFill="1" applyBorder="1"/>
    <xf numFmtId="166" fontId="8" fillId="2" borderId="1" xfId="1" applyNumberFormat="1" applyFont="1" applyFill="1" applyBorder="1"/>
    <xf numFmtId="165" fontId="8" fillId="2" borderId="0" xfId="1" applyNumberFormat="1" applyFont="1" applyFill="1" applyBorder="1"/>
    <xf numFmtId="166" fontId="8" fillId="2" borderId="0" xfId="1" applyNumberFormat="1" applyFont="1" applyFill="1" applyBorder="1"/>
    <xf numFmtId="164" fontId="8" fillId="2" borderId="3" xfId="2" applyNumberFormat="1" applyFont="1" applyFill="1" applyBorder="1" applyAlignment="1">
      <alignment horizontal="center"/>
    </xf>
    <xf numFmtId="164" fontId="0" fillId="2" borderId="4" xfId="2" applyNumberFormat="1" applyFont="1" applyFill="1" applyBorder="1"/>
    <xf numFmtId="166" fontId="8" fillId="2" borderId="6" xfId="1" applyNumberFormat="1" applyFont="1" applyFill="1" applyBorder="1"/>
    <xf numFmtId="166" fontId="8" fillId="2" borderId="4" xfId="1" applyNumberFormat="1" applyFont="1" applyFill="1" applyBorder="1"/>
    <xf numFmtId="0" fontId="0" fillId="2" borderId="7" xfId="0" applyFill="1" applyBorder="1"/>
    <xf numFmtId="164" fontId="8" fillId="2" borderId="7" xfId="2" applyNumberFormat="1" applyFont="1" applyFill="1" applyBorder="1" applyAlignment="1">
      <alignment horizontal="center"/>
    </xf>
    <xf numFmtId="166" fontId="0" fillId="2" borderId="7" xfId="0" applyNumberFormat="1" applyFill="1" applyBorder="1"/>
    <xf numFmtId="165" fontId="8" fillId="2" borderId="8" xfId="2" applyNumberFormat="1" applyFont="1" applyFill="1" applyBorder="1" applyAlignment="1">
      <alignment horizontal="center"/>
    </xf>
    <xf numFmtId="0" fontId="8" fillId="2" borderId="9" xfId="0" applyFont="1" applyFill="1" applyBorder="1"/>
    <xf numFmtId="165" fontId="8" fillId="2" borderId="9" xfId="1" applyNumberFormat="1" applyFont="1" applyFill="1" applyBorder="1"/>
    <xf numFmtId="166" fontId="8" fillId="2" borderId="9" xfId="1" applyNumberFormat="1" applyFont="1" applyFill="1" applyBorder="1"/>
    <xf numFmtId="0" fontId="0" fillId="0" borderId="7" xfId="0" applyBorder="1"/>
    <xf numFmtId="166" fontId="0" fillId="0" borderId="7" xfId="0" applyNumberFormat="1" applyBorder="1"/>
    <xf numFmtId="166" fontId="0" fillId="0" borderId="0" xfId="1" applyNumberFormat="1" applyFont="1" applyBorder="1"/>
    <xf numFmtId="164" fontId="0" fillId="0" borderId="0" xfId="2" applyNumberFormat="1" applyFont="1" applyBorder="1"/>
    <xf numFmtId="0" fontId="8" fillId="3" borderId="1" xfId="0" applyFont="1" applyFill="1" applyBorder="1"/>
    <xf numFmtId="165" fontId="8" fillId="3" borderId="1" xfId="1" applyNumberFormat="1" applyFont="1" applyFill="1" applyBorder="1"/>
    <xf numFmtId="166" fontId="8" fillId="3" borderId="1" xfId="1" applyNumberFormat="1" applyFont="1" applyFill="1" applyBorder="1"/>
    <xf numFmtId="166" fontId="8" fillId="3" borderId="5" xfId="1" applyNumberFormat="1" applyFont="1" applyFill="1" applyBorder="1"/>
    <xf numFmtId="166" fontId="0" fillId="3" borderId="7" xfId="0" applyNumberFormat="1" applyFill="1" applyBorder="1"/>
    <xf numFmtId="0" fontId="8" fillId="3" borderId="9" xfId="0" applyFont="1" applyFill="1" applyBorder="1"/>
    <xf numFmtId="165" fontId="8" fillId="3" borderId="9" xfId="1" applyNumberFormat="1" applyFont="1" applyFill="1" applyBorder="1"/>
    <xf numFmtId="166" fontId="8" fillId="3" borderId="9" xfId="1" applyNumberFormat="1" applyFont="1" applyFill="1" applyBorder="1"/>
    <xf numFmtId="166" fontId="8" fillId="3" borderId="2" xfId="1" applyNumberFormat="1" applyFont="1" applyFill="1" applyBorder="1"/>
    <xf numFmtId="166" fontId="8" fillId="3" borderId="0" xfId="1" applyNumberFormat="1" applyFont="1" applyFill="1" applyBorder="1"/>
    <xf numFmtId="164" fontId="8" fillId="2" borderId="7" xfId="2" applyNumberFormat="1" applyFont="1" applyFill="1" applyBorder="1"/>
    <xf numFmtId="0" fontId="8" fillId="2" borderId="4" xfId="0" quotePrefix="1" applyFont="1" applyFill="1" applyBorder="1" applyAlignment="1">
      <alignment horizontal="center"/>
    </xf>
    <xf numFmtId="164" fontId="8" fillId="0" borderId="4" xfId="2" applyNumberFormat="1" applyFont="1" applyBorder="1"/>
    <xf numFmtId="165" fontId="7" fillId="2" borderId="0" xfId="1" applyNumberFormat="1" applyFont="1" applyFill="1" applyBorder="1"/>
    <xf numFmtId="0" fontId="8" fillId="4" borderId="1" xfId="0" applyFont="1" applyFill="1" applyBorder="1"/>
    <xf numFmtId="165" fontId="8" fillId="4" borderId="1" xfId="1" applyNumberFormat="1" applyFont="1" applyFill="1" applyBorder="1"/>
    <xf numFmtId="166" fontId="8" fillId="4" borderId="1" xfId="1" applyNumberFormat="1" applyFont="1" applyFill="1" applyBorder="1" applyAlignment="1">
      <alignment horizontal="right"/>
    </xf>
    <xf numFmtId="166" fontId="8" fillId="4" borderId="1" xfId="1" applyNumberFormat="1" applyFont="1" applyFill="1" applyBorder="1"/>
    <xf numFmtId="166" fontId="0" fillId="4" borderId="10" xfId="0" applyNumberFormat="1" applyFill="1" applyBorder="1"/>
    <xf numFmtId="10" fontId="8" fillId="2" borderId="0" xfId="3" applyNumberFormat="1" applyFont="1" applyFill="1" applyBorder="1" applyAlignment="1">
      <alignment horizontal="right"/>
    </xf>
    <xf numFmtId="166" fontId="8" fillId="2" borderId="14" xfId="1" applyNumberFormat="1" applyFont="1" applyFill="1" applyBorder="1" applyAlignment="1">
      <alignment horizontal="center"/>
    </xf>
    <xf numFmtId="10" fontId="8" fillId="2" borderId="14" xfId="3" applyNumberFormat="1" applyFont="1" applyFill="1" applyBorder="1" applyAlignment="1">
      <alignment horizontal="right"/>
    </xf>
    <xf numFmtId="164" fontId="8" fillId="2" borderId="14" xfId="2" applyNumberFormat="1" applyFont="1" applyFill="1" applyBorder="1" applyAlignment="1">
      <alignment horizontal="center"/>
    </xf>
    <xf numFmtId="166" fontId="8" fillId="4" borderId="6" xfId="1" applyNumberFormat="1" applyFont="1" applyFill="1" applyBorder="1"/>
    <xf numFmtId="164" fontId="8" fillId="0" borderId="11" xfId="2" applyNumberFormat="1" applyFont="1" applyBorder="1"/>
    <xf numFmtId="166" fontId="8" fillId="0" borderId="0" xfId="1" applyNumberFormat="1" applyFont="1" applyBorder="1" applyAlignment="1">
      <alignment horizontal="center"/>
    </xf>
    <xf numFmtId="0" fontId="8" fillId="2" borderId="0" xfId="0" applyFont="1" applyFill="1" applyAlignment="1">
      <alignment horizontal="center"/>
    </xf>
    <xf numFmtId="164" fontId="8" fillId="0" borderId="0" xfId="2" applyNumberFormat="1" applyFont="1" applyBorder="1"/>
    <xf numFmtId="0" fontId="0" fillId="0" borderId="15" xfId="0" applyBorder="1"/>
    <xf numFmtId="0" fontId="8" fillId="0" borderId="15" xfId="0" applyFont="1" applyBorder="1" applyAlignment="1">
      <alignment horizontal="center"/>
    </xf>
    <xf numFmtId="164" fontId="8" fillId="0" borderId="15" xfId="2" applyNumberFormat="1" applyFont="1" applyBorder="1"/>
    <xf numFmtId="167" fontId="0" fillId="0" borderId="0" xfId="0" applyNumberFormat="1"/>
    <xf numFmtId="43" fontId="0" fillId="0" borderId="15" xfId="0" applyNumberFormat="1" applyBorder="1"/>
    <xf numFmtId="166" fontId="0" fillId="0" borderId="15" xfId="0" applyNumberFormat="1" applyBorder="1"/>
    <xf numFmtId="10" fontId="8" fillId="2" borderId="8" xfId="3" applyNumberFormat="1" applyFont="1" applyFill="1" applyBorder="1" applyAlignment="1">
      <alignment horizontal="right"/>
    </xf>
    <xf numFmtId="10" fontId="8" fillId="2" borderId="9" xfId="3" applyNumberFormat="1" applyFont="1" applyFill="1" applyBorder="1" applyAlignment="1">
      <alignment horizontal="right"/>
    </xf>
    <xf numFmtId="10" fontId="8" fillId="2" borderId="16" xfId="3" applyNumberFormat="1" applyFont="1" applyFill="1" applyBorder="1" applyAlignment="1">
      <alignment horizontal="right"/>
    </xf>
    <xf numFmtId="165" fontId="8" fillId="2" borderId="16" xfId="2" applyNumberFormat="1" applyFont="1" applyFill="1" applyBorder="1" applyAlignment="1">
      <alignment horizontal="center"/>
    </xf>
    <xf numFmtId="0" fontId="8" fillId="2" borderId="16" xfId="0" applyFont="1" applyFill="1" applyBorder="1" applyAlignment="1">
      <alignment horizontal="center"/>
    </xf>
    <xf numFmtId="43" fontId="8" fillId="0" borderId="15" xfId="0" applyNumberFormat="1" applyFont="1" applyBorder="1"/>
    <xf numFmtId="166" fontId="8" fillId="0" borderId="15" xfId="0" applyNumberFormat="1" applyFont="1" applyBorder="1"/>
    <xf numFmtId="43" fontId="8" fillId="0" borderId="15" xfId="1" applyFont="1" applyBorder="1"/>
    <xf numFmtId="0" fontId="8" fillId="5" borderId="9" xfId="0" applyFont="1" applyFill="1" applyBorder="1"/>
    <xf numFmtId="165" fontId="8" fillId="5" borderId="9" xfId="1" applyNumberFormat="1" applyFont="1" applyFill="1" applyBorder="1"/>
    <xf numFmtId="166" fontId="8" fillId="5" borderId="9" xfId="1" applyNumberFormat="1" applyFont="1" applyFill="1" applyBorder="1"/>
    <xf numFmtId="0" fontId="8" fillId="2" borderId="14" xfId="0" applyFont="1" applyFill="1" applyBorder="1"/>
    <xf numFmtId="165" fontId="8" fillId="2" borderId="14" xfId="1" applyNumberFormat="1" applyFont="1" applyFill="1" applyBorder="1"/>
    <xf numFmtId="166" fontId="8" fillId="2" borderId="14" xfId="1" applyNumberFormat="1" applyFont="1" applyFill="1" applyBorder="1"/>
    <xf numFmtId="164" fontId="8" fillId="2" borderId="0" xfId="0" applyNumberFormat="1" applyFont="1" applyFill="1" applyAlignment="1">
      <alignment horizontal="center"/>
    </xf>
    <xf numFmtId="0" fontId="12" fillId="0" borderId="0" xfId="0" applyFont="1"/>
    <xf numFmtId="0" fontId="9" fillId="0" borderId="0" xfId="0" applyFont="1"/>
    <xf numFmtId="0" fontId="10" fillId="0" borderId="0" xfId="0" applyFont="1"/>
    <xf numFmtId="164" fontId="8" fillId="0" borderId="0" xfId="2" applyNumberFormat="1" applyFont="1" applyFill="1" applyBorder="1" applyAlignment="1">
      <alignment horizontal="center"/>
    </xf>
    <xf numFmtId="164" fontId="0" fillId="0" borderId="0" xfId="2" applyNumberFormat="1" applyFont="1" applyFill="1" applyBorder="1"/>
    <xf numFmtId="166" fontId="8" fillId="2" borderId="9" xfId="0" applyNumberFormat="1" applyFont="1" applyFill="1" applyBorder="1"/>
    <xf numFmtId="166" fontId="8" fillId="2" borderId="9" xfId="1" applyNumberFormat="1" applyFont="1" applyFill="1" applyBorder="1" applyAlignment="1">
      <alignment horizontal="right"/>
    </xf>
    <xf numFmtId="166" fontId="8" fillId="2" borderId="16" xfId="0" applyNumberFormat="1" applyFont="1" applyFill="1" applyBorder="1"/>
    <xf numFmtId="166" fontId="8" fillId="2" borderId="16" xfId="1" applyNumberFormat="1" applyFont="1" applyFill="1" applyBorder="1" applyAlignment="1">
      <alignment horizontal="right"/>
    </xf>
    <xf numFmtId="166" fontId="8" fillId="2" borderId="0" xfId="1" applyNumberFormat="1" applyFont="1" applyFill="1" applyBorder="1" applyAlignment="1">
      <alignment horizontal="right"/>
    </xf>
    <xf numFmtId="166" fontId="8" fillId="2" borderId="14" xfId="1" applyNumberFormat="1" applyFont="1" applyFill="1" applyBorder="1" applyAlignment="1">
      <alignment horizontal="right"/>
    </xf>
    <xf numFmtId="0" fontId="8" fillId="2" borderId="0" xfId="0" applyFont="1" applyFill="1"/>
    <xf numFmtId="168" fontId="8" fillId="0" borderId="0" xfId="2" applyNumberFormat="1" applyFont="1" applyBorder="1"/>
    <xf numFmtId="0" fontId="0" fillId="2" borderId="0" xfId="0" applyFill="1"/>
    <xf numFmtId="14" fontId="8" fillId="2" borderId="0" xfId="0" applyNumberFormat="1" applyFont="1" applyFill="1" applyAlignment="1">
      <alignment horizontal="center"/>
    </xf>
    <xf numFmtId="14" fontId="8" fillId="0" borderId="0" xfId="0" applyNumberFormat="1" applyFont="1" applyAlignment="1">
      <alignment horizontal="center"/>
    </xf>
    <xf numFmtId="164" fontId="0" fillId="0" borderId="0" xfId="0" applyNumberFormat="1"/>
    <xf numFmtId="166" fontId="0" fillId="0" borderId="0" xfId="0" applyNumberFormat="1"/>
    <xf numFmtId="43" fontId="0" fillId="0" borderId="0" xfId="0" applyNumberFormat="1"/>
    <xf numFmtId="10" fontId="8" fillId="2" borderId="20" xfId="3" applyNumberFormat="1" applyFont="1" applyFill="1" applyBorder="1" applyAlignment="1">
      <alignment horizontal="right"/>
    </xf>
    <xf numFmtId="10" fontId="8" fillId="2" borderId="22" xfId="3" applyNumberFormat="1" applyFont="1" applyFill="1" applyBorder="1" applyAlignment="1">
      <alignment horizontal="center"/>
    </xf>
    <xf numFmtId="10" fontId="8" fillId="2" borderId="24" xfId="3" applyNumberFormat="1" applyFont="1" applyFill="1" applyBorder="1" applyAlignment="1">
      <alignment horizontal="center"/>
    </xf>
    <xf numFmtId="10" fontId="8" fillId="2" borderId="26" xfId="3" applyNumberFormat="1" applyFont="1" applyFill="1" applyBorder="1" applyAlignment="1">
      <alignment horizontal="center"/>
    </xf>
    <xf numFmtId="10" fontId="8" fillId="2" borderId="28" xfId="3" applyNumberFormat="1" applyFont="1" applyFill="1" applyBorder="1" applyAlignment="1">
      <alignment horizontal="center"/>
    </xf>
    <xf numFmtId="10" fontId="8" fillId="2" borderId="30" xfId="3" applyNumberFormat="1" applyFont="1" applyFill="1" applyBorder="1" applyAlignment="1">
      <alignment horizontal="right"/>
    </xf>
    <xf numFmtId="10" fontId="8" fillId="2" borderId="31" xfId="3" applyNumberFormat="1" applyFont="1" applyFill="1" applyBorder="1" applyAlignment="1">
      <alignment horizontal="center"/>
    </xf>
    <xf numFmtId="0" fontId="0" fillId="0" borderId="32" xfId="0" applyBorder="1"/>
    <xf numFmtId="0" fontId="8" fillId="0" borderId="33" xfId="0" applyFont="1" applyBorder="1" applyAlignment="1">
      <alignment horizontal="center"/>
    </xf>
    <xf numFmtId="166" fontId="8" fillId="0" borderId="33" xfId="1" applyNumberFormat="1" applyFont="1" applyBorder="1" applyAlignment="1">
      <alignment horizontal="center"/>
    </xf>
    <xf numFmtId="164" fontId="0" fillId="0" borderId="33" xfId="2" applyNumberFormat="1" applyFont="1" applyBorder="1"/>
    <xf numFmtId="0" fontId="0" fillId="0" borderId="33" xfId="0" applyBorder="1"/>
    <xf numFmtId="164" fontId="0" fillId="0" borderId="33" xfId="2" applyNumberFormat="1" applyFont="1" applyFill="1" applyBorder="1"/>
    <xf numFmtId="0" fontId="0" fillId="0" borderId="34" xfId="0" applyBorder="1"/>
    <xf numFmtId="0" fontId="0" fillId="0" borderId="35" xfId="0" applyBorder="1"/>
    <xf numFmtId="0" fontId="8" fillId="0" borderId="0" xfId="0" applyFont="1" applyAlignment="1">
      <alignment horizontal="center"/>
    </xf>
    <xf numFmtId="0" fontId="8" fillId="0" borderId="0" xfId="0" applyFont="1"/>
    <xf numFmtId="0" fontId="0" fillId="0" borderId="36" xfId="0" applyBorder="1"/>
    <xf numFmtId="166" fontId="8" fillId="2" borderId="0" xfId="0" applyNumberFormat="1" applyFont="1" applyFill="1"/>
    <xf numFmtId="44" fontId="8" fillId="0" borderId="0" xfId="2" applyFont="1" applyFill="1" applyBorder="1"/>
    <xf numFmtId="0" fontId="0" fillId="0" borderId="37" xfId="0" applyBorder="1"/>
    <xf numFmtId="0" fontId="0" fillId="0" borderId="38" xfId="0" applyBorder="1"/>
    <xf numFmtId="166" fontId="0" fillId="0" borderId="38" xfId="1" applyNumberFormat="1" applyFont="1" applyBorder="1"/>
    <xf numFmtId="164" fontId="0" fillId="0" borderId="38" xfId="2" applyNumberFormat="1" applyFont="1" applyBorder="1"/>
    <xf numFmtId="0" fontId="0" fillId="0" borderId="39" xfId="0" applyBorder="1"/>
    <xf numFmtId="0" fontId="8" fillId="2" borderId="25" xfId="0" applyFont="1" applyFill="1" applyBorder="1"/>
    <xf numFmtId="0" fontId="8" fillId="2" borderId="23" xfId="0" applyFont="1" applyFill="1" applyBorder="1"/>
    <xf numFmtId="0" fontId="8" fillId="2" borderId="27" xfId="0" applyFont="1" applyFill="1" applyBorder="1"/>
    <xf numFmtId="171" fontId="8" fillId="2" borderId="0" xfId="2" applyNumberFormat="1" applyFont="1" applyFill="1" applyBorder="1" applyAlignment="1">
      <alignment horizontal="right"/>
    </xf>
    <xf numFmtId="0" fontId="8" fillId="2" borderId="20" xfId="0" applyFont="1" applyFill="1" applyBorder="1" applyAlignment="1">
      <alignment horizontal="center"/>
    </xf>
    <xf numFmtId="0" fontId="8" fillId="2" borderId="21" xfId="0" applyFont="1" applyFill="1" applyBorder="1" applyAlignment="1">
      <alignment horizontal="center"/>
    </xf>
    <xf numFmtId="0" fontId="8" fillId="2" borderId="27" xfId="0" applyFont="1" applyFill="1" applyBorder="1" applyAlignment="1">
      <alignment horizontal="center"/>
    </xf>
    <xf numFmtId="166" fontId="0" fillId="2" borderId="0" xfId="0" applyNumberFormat="1" applyFill="1"/>
    <xf numFmtId="164" fontId="8" fillId="2" borderId="28" xfId="2" applyNumberFormat="1" applyFont="1" applyFill="1" applyBorder="1" applyAlignment="1">
      <alignment horizontal="center"/>
    </xf>
    <xf numFmtId="9" fontId="8" fillId="2" borderId="28" xfId="0" quotePrefix="1" applyNumberFormat="1" applyFont="1" applyFill="1" applyBorder="1" applyAlignment="1">
      <alignment horizontal="center"/>
    </xf>
    <xf numFmtId="164" fontId="0" fillId="2" borderId="28" xfId="2" applyNumberFormat="1" applyFont="1" applyFill="1" applyBorder="1"/>
    <xf numFmtId="164" fontId="0" fillId="2" borderId="43" xfId="2" applyNumberFormat="1" applyFont="1" applyFill="1" applyBorder="1"/>
    <xf numFmtId="164" fontId="0" fillId="2" borderId="31" xfId="2" applyNumberFormat="1" applyFont="1" applyFill="1" applyBorder="1"/>
    <xf numFmtId="166" fontId="8" fillId="2" borderId="45" xfId="1" applyNumberFormat="1" applyFont="1" applyFill="1" applyBorder="1"/>
    <xf numFmtId="166" fontId="8" fillId="2" borderId="46" xfId="1" applyNumberFormat="1" applyFont="1" applyFill="1" applyBorder="1"/>
    <xf numFmtId="0" fontId="0" fillId="0" borderId="48" xfId="0" applyBorder="1"/>
    <xf numFmtId="0" fontId="8" fillId="2" borderId="0" xfId="0" applyFont="1" applyFill="1" applyAlignment="1">
      <alignment horizontal="center" vertical="center"/>
    </xf>
    <xf numFmtId="0" fontId="8" fillId="2" borderId="0" xfId="0" quotePrefix="1" applyFont="1" applyFill="1" applyAlignment="1">
      <alignment horizontal="center"/>
    </xf>
    <xf numFmtId="9" fontId="8" fillId="2" borderId="0" xfId="0" quotePrefix="1" applyNumberFormat="1" applyFont="1" applyFill="1" applyAlignment="1">
      <alignment horizontal="center"/>
    </xf>
    <xf numFmtId="0" fontId="0" fillId="0" borderId="35" xfId="0" applyBorder="1" applyAlignment="1">
      <alignment horizontal="left" indent="1"/>
    </xf>
    <xf numFmtId="165" fontId="8" fillId="2" borderId="49" xfId="1" applyNumberFormat="1" applyFont="1" applyFill="1" applyBorder="1" applyAlignment="1">
      <alignment horizontal="center"/>
    </xf>
    <xf numFmtId="165" fontId="8" fillId="2" borderId="49" xfId="2" applyNumberFormat="1" applyFont="1" applyFill="1" applyBorder="1" applyAlignment="1">
      <alignment horizontal="center"/>
    </xf>
    <xf numFmtId="0" fontId="8" fillId="2" borderId="49" xfId="0" applyFont="1" applyFill="1" applyBorder="1" applyAlignment="1">
      <alignment horizontal="center"/>
    </xf>
    <xf numFmtId="164" fontId="8" fillId="2" borderId="49" xfId="0" applyNumberFormat="1" applyFont="1" applyFill="1" applyBorder="1" applyAlignment="1">
      <alignment horizontal="center"/>
    </xf>
    <xf numFmtId="166" fontId="8" fillId="2" borderId="38" xfId="1" applyNumberFormat="1" applyFont="1" applyFill="1" applyBorder="1"/>
    <xf numFmtId="0" fontId="0" fillId="2" borderId="50" xfId="0" applyFill="1" applyBorder="1"/>
    <xf numFmtId="164" fontId="8" fillId="0" borderId="51" xfId="2" applyNumberFormat="1" applyFont="1" applyBorder="1"/>
    <xf numFmtId="0" fontId="0" fillId="0" borderId="47" xfId="0" applyBorder="1"/>
    <xf numFmtId="166" fontId="0" fillId="2" borderId="0" xfId="1" applyNumberFormat="1" applyFont="1" applyFill="1" applyBorder="1" applyAlignment="1">
      <alignment horizontal="right"/>
    </xf>
    <xf numFmtId="166" fontId="0" fillId="2" borderId="0" xfId="0" applyNumberFormat="1" applyFill="1" applyAlignment="1">
      <alignment horizontal="right"/>
    </xf>
    <xf numFmtId="166" fontId="8" fillId="2" borderId="1" xfId="1" applyNumberFormat="1" applyFont="1" applyFill="1" applyBorder="1" applyAlignment="1">
      <alignment horizontal="right"/>
    </xf>
    <xf numFmtId="171" fontId="8" fillId="2" borderId="44" xfId="1" applyNumberFormat="1" applyFont="1" applyFill="1" applyBorder="1" applyAlignment="1">
      <alignment horizontal="right"/>
    </xf>
    <xf numFmtId="166" fontId="0" fillId="2" borderId="11" xfId="2" applyNumberFormat="1" applyFont="1" applyFill="1" applyBorder="1" applyAlignment="1">
      <alignment horizontal="right"/>
    </xf>
    <xf numFmtId="166" fontId="8" fillId="2" borderId="11" xfId="1" applyNumberFormat="1" applyFont="1" applyFill="1" applyBorder="1" applyAlignment="1">
      <alignment horizontal="right"/>
    </xf>
    <xf numFmtId="166" fontId="8" fillId="0" borderId="11" xfId="2" applyNumberFormat="1" applyFont="1" applyBorder="1" applyAlignment="1">
      <alignment horizontal="right"/>
    </xf>
    <xf numFmtId="171" fontId="8" fillId="0" borderId="11" xfId="2" applyNumberFormat="1" applyFont="1" applyBorder="1" applyAlignment="1">
      <alignment horizontal="right"/>
    </xf>
    <xf numFmtId="171" fontId="8" fillId="2" borderId="12" xfId="1" applyNumberFormat="1" applyFont="1" applyFill="1" applyBorder="1" applyAlignment="1">
      <alignment horizontal="right"/>
    </xf>
    <xf numFmtId="166" fontId="8" fillId="2" borderId="46" xfId="1" applyNumberFormat="1" applyFont="1" applyFill="1" applyBorder="1" applyAlignment="1">
      <alignment horizontal="right"/>
    </xf>
    <xf numFmtId="0" fontId="8" fillId="2" borderId="22" xfId="0" applyFont="1" applyFill="1" applyBorder="1" applyAlignment="1">
      <alignment horizontal="center"/>
    </xf>
    <xf numFmtId="166" fontId="0" fillId="2" borderId="27" xfId="0" applyNumberFormat="1" applyFill="1" applyBorder="1" applyAlignment="1">
      <alignment horizontal="right"/>
    </xf>
    <xf numFmtId="166" fontId="0" fillId="2" borderId="28" xfId="1" applyNumberFormat="1" applyFont="1" applyFill="1" applyBorder="1" applyAlignment="1">
      <alignment horizontal="right"/>
    </xf>
    <xf numFmtId="166" fontId="0" fillId="2" borderId="29" xfId="0" applyNumberFormat="1" applyFill="1" applyBorder="1" applyAlignment="1">
      <alignment horizontal="right"/>
    </xf>
    <xf numFmtId="166" fontId="0" fillId="2" borderId="30" xfId="1" applyNumberFormat="1" applyFont="1" applyFill="1" applyBorder="1" applyAlignment="1">
      <alignment horizontal="right"/>
    </xf>
    <xf numFmtId="166" fontId="0" fillId="2" borderId="31" xfId="1" applyNumberFormat="1" applyFont="1" applyFill="1" applyBorder="1" applyAlignment="1">
      <alignment horizontal="right"/>
    </xf>
    <xf numFmtId="0" fontId="8" fillId="2" borderId="29" xfId="0" applyFont="1" applyFill="1" applyBorder="1" applyAlignment="1">
      <alignment horizontal="center"/>
    </xf>
    <xf numFmtId="0" fontId="8" fillId="2" borderId="30" xfId="0" quotePrefix="1" applyFont="1" applyFill="1" applyBorder="1" applyAlignment="1">
      <alignment horizontal="center"/>
    </xf>
    <xf numFmtId="9" fontId="8" fillId="2" borderId="31" xfId="0" quotePrefix="1" applyNumberFormat="1" applyFont="1" applyFill="1" applyBorder="1" applyAlignment="1">
      <alignment horizontal="center"/>
    </xf>
    <xf numFmtId="166" fontId="8" fillId="2" borderId="53" xfId="1" applyNumberFormat="1" applyFont="1" applyFill="1" applyBorder="1" applyAlignment="1">
      <alignment horizontal="right"/>
    </xf>
    <xf numFmtId="166" fontId="8" fillId="2" borderId="54" xfId="1" applyNumberFormat="1" applyFont="1" applyFill="1" applyBorder="1" applyAlignment="1">
      <alignment horizontal="right"/>
    </xf>
    <xf numFmtId="0" fontId="8" fillId="2" borderId="30" xfId="0" applyFont="1" applyFill="1" applyBorder="1" applyAlignment="1">
      <alignment horizontal="center"/>
    </xf>
    <xf numFmtId="9" fontId="8" fillId="2" borderId="30" xfId="0" quotePrefix="1" applyNumberFormat="1" applyFont="1" applyFill="1" applyBorder="1" applyAlignment="1">
      <alignment horizontal="center"/>
    </xf>
    <xf numFmtId="164" fontId="8" fillId="2" borderId="20" xfId="2" applyNumberFormat="1" applyFont="1" applyFill="1" applyBorder="1" applyAlignment="1"/>
    <xf numFmtId="164" fontId="8" fillId="2" borderId="22" xfId="2" applyNumberFormat="1" applyFont="1" applyFill="1" applyBorder="1" applyAlignment="1"/>
    <xf numFmtId="164" fontId="8" fillId="2" borderId="40" xfId="2" applyNumberFormat="1" applyFont="1" applyFill="1" applyBorder="1" applyAlignment="1">
      <alignment horizontal="center"/>
    </xf>
    <xf numFmtId="164" fontId="8" fillId="2" borderId="41" xfId="2" applyNumberFormat="1" applyFont="1" applyFill="1" applyBorder="1" applyAlignment="1">
      <alignment horizontal="center"/>
    </xf>
    <xf numFmtId="171" fontId="0" fillId="2" borderId="41" xfId="2" applyNumberFormat="1" applyFont="1" applyFill="1" applyBorder="1" applyAlignment="1">
      <alignment horizontal="right"/>
    </xf>
    <xf numFmtId="171" fontId="0" fillId="2" borderId="55" xfId="2" applyNumberFormat="1" applyFont="1" applyFill="1" applyBorder="1" applyAlignment="1">
      <alignment horizontal="right"/>
    </xf>
    <xf numFmtId="166" fontId="0" fillId="2" borderId="27" xfId="0" applyNumberFormat="1" applyFill="1" applyBorder="1"/>
    <xf numFmtId="166" fontId="8" fillId="3" borderId="56" xfId="1" applyNumberFormat="1" applyFont="1" applyFill="1" applyBorder="1"/>
    <xf numFmtId="166" fontId="0" fillId="2" borderId="28" xfId="1" applyNumberFormat="1" applyFont="1" applyFill="1" applyBorder="1"/>
    <xf numFmtId="166" fontId="8" fillId="3" borderId="57" xfId="1" applyNumberFormat="1" applyFont="1" applyFill="1" applyBorder="1"/>
    <xf numFmtId="166" fontId="8" fillId="3" borderId="56" xfId="1" applyNumberFormat="1" applyFont="1" applyFill="1" applyBorder="1" applyAlignment="1">
      <alignment horizontal="right"/>
    </xf>
    <xf numFmtId="166" fontId="8" fillId="3" borderId="1" xfId="1" applyNumberFormat="1" applyFont="1" applyFill="1" applyBorder="1" applyAlignment="1">
      <alignment horizontal="right"/>
    </xf>
    <xf numFmtId="166" fontId="8" fillId="3" borderId="57" xfId="1" applyNumberFormat="1" applyFont="1" applyFill="1" applyBorder="1" applyAlignment="1">
      <alignment horizontal="right"/>
    </xf>
    <xf numFmtId="171" fontId="0" fillId="2" borderId="11" xfId="2" applyNumberFormat="1" applyFont="1" applyFill="1" applyBorder="1"/>
    <xf numFmtId="171" fontId="8" fillId="3" borderId="42" xfId="1" applyNumberFormat="1" applyFont="1" applyFill="1" applyBorder="1"/>
    <xf numFmtId="166" fontId="0" fillId="2" borderId="21" xfId="0" applyNumberFormat="1" applyFill="1" applyBorder="1" applyAlignment="1">
      <alignment horizontal="right"/>
    </xf>
    <xf numFmtId="166" fontId="0" fillId="2" borderId="20" xfId="1" applyNumberFormat="1" applyFont="1" applyFill="1" applyBorder="1" applyAlignment="1">
      <alignment horizontal="right"/>
    </xf>
    <xf numFmtId="166" fontId="0" fillId="2" borderId="22" xfId="1" applyNumberFormat="1" applyFont="1" applyFill="1" applyBorder="1" applyAlignment="1">
      <alignment horizontal="right"/>
    </xf>
    <xf numFmtId="166" fontId="8" fillId="3" borderId="58" xfId="1" applyNumberFormat="1" applyFont="1" applyFill="1" applyBorder="1" applyAlignment="1">
      <alignment horizontal="right"/>
    </xf>
    <xf numFmtId="166" fontId="8" fillId="3" borderId="46" xfId="1" applyNumberFormat="1" applyFont="1" applyFill="1" applyBorder="1" applyAlignment="1">
      <alignment horizontal="right"/>
    </xf>
    <xf numFmtId="166" fontId="8" fillId="3" borderId="54" xfId="1" applyNumberFormat="1" applyFont="1" applyFill="1" applyBorder="1" applyAlignment="1">
      <alignment horizontal="right"/>
    </xf>
    <xf numFmtId="171" fontId="0" fillId="2" borderId="11" xfId="2" applyNumberFormat="1" applyFont="1" applyFill="1" applyBorder="1" applyAlignment="1">
      <alignment horizontal="right"/>
    </xf>
    <xf numFmtId="171" fontId="0" fillId="2" borderId="13" xfId="2" applyNumberFormat="1" applyFont="1" applyFill="1" applyBorder="1" applyAlignment="1">
      <alignment horizontal="right"/>
    </xf>
    <xf numFmtId="0" fontId="8" fillId="3" borderId="52" xfId="0" applyFont="1" applyFill="1" applyBorder="1"/>
    <xf numFmtId="165" fontId="8" fillId="3" borderId="52" xfId="1" applyNumberFormat="1" applyFont="1" applyFill="1" applyBorder="1"/>
    <xf numFmtId="166" fontId="8" fillId="3" borderId="60" xfId="1" applyNumberFormat="1" applyFont="1" applyFill="1" applyBorder="1" applyAlignment="1">
      <alignment horizontal="right"/>
    </xf>
    <xf numFmtId="166" fontId="8" fillId="3" borderId="59" xfId="1" applyNumberFormat="1" applyFont="1" applyFill="1" applyBorder="1" applyAlignment="1">
      <alignment horizontal="right"/>
    </xf>
    <xf numFmtId="166" fontId="8" fillId="3" borderId="61" xfId="1" applyNumberFormat="1" applyFont="1" applyFill="1" applyBorder="1" applyAlignment="1">
      <alignment horizontal="right"/>
    </xf>
    <xf numFmtId="166" fontId="8" fillId="3" borderId="52" xfId="1" applyNumberFormat="1" applyFont="1" applyFill="1" applyBorder="1" applyAlignment="1">
      <alignment horizontal="right"/>
    </xf>
    <xf numFmtId="171" fontId="8" fillId="2" borderId="62" xfId="2" applyNumberFormat="1" applyFont="1" applyFill="1" applyBorder="1" applyAlignment="1">
      <alignment horizontal="right"/>
    </xf>
    <xf numFmtId="171" fontId="8" fillId="4" borderId="57" xfId="1" applyNumberFormat="1" applyFont="1" applyFill="1" applyBorder="1" applyAlignment="1">
      <alignment horizontal="right"/>
    </xf>
    <xf numFmtId="166" fontId="8" fillId="2" borderId="20" xfId="1" applyNumberFormat="1" applyFont="1" applyFill="1" applyBorder="1" applyAlignment="1">
      <alignment horizontal="center"/>
    </xf>
    <xf numFmtId="164" fontId="8" fillId="2" borderId="20" xfId="2" applyNumberFormat="1" applyFont="1" applyFill="1" applyBorder="1" applyAlignment="1">
      <alignment horizontal="center"/>
    </xf>
    <xf numFmtId="0" fontId="13" fillId="2" borderId="21" xfId="0" applyFont="1" applyFill="1" applyBorder="1"/>
    <xf numFmtId="0" fontId="12" fillId="2" borderId="27" xfId="0" applyFont="1" applyFill="1" applyBorder="1"/>
    <xf numFmtId="0" fontId="0" fillId="2" borderId="27" xfId="0" applyFill="1" applyBorder="1"/>
    <xf numFmtId="0" fontId="8" fillId="2" borderId="56" xfId="0" applyFont="1" applyFill="1" applyBorder="1"/>
    <xf numFmtId="0" fontId="8" fillId="4" borderId="56" xfId="0" applyFont="1" applyFill="1" applyBorder="1"/>
    <xf numFmtId="0" fontId="13" fillId="2" borderId="27" xfId="0" applyFont="1" applyFill="1" applyBorder="1"/>
    <xf numFmtId="0" fontId="8" fillId="2" borderId="63" xfId="0" applyFont="1" applyFill="1" applyBorder="1"/>
    <xf numFmtId="0" fontId="8" fillId="2" borderId="64" xfId="0" applyFont="1" applyFill="1" applyBorder="1"/>
    <xf numFmtId="171" fontId="8" fillId="2" borderId="28" xfId="2" applyNumberFormat="1" applyFont="1" applyFill="1" applyBorder="1" applyAlignment="1">
      <alignment horizontal="right"/>
    </xf>
    <xf numFmtId="171" fontId="8" fillId="2" borderId="65" xfId="2" applyNumberFormat="1" applyFont="1" applyFill="1" applyBorder="1" applyAlignment="1">
      <alignment horizontal="right"/>
    </xf>
    <xf numFmtId="166" fontId="8" fillId="2" borderId="28" xfId="1" applyNumberFormat="1" applyFont="1" applyFill="1" applyBorder="1" applyAlignment="1">
      <alignment horizontal="right"/>
    </xf>
    <xf numFmtId="166" fontId="8" fillId="5" borderId="26" xfId="1" applyNumberFormat="1" applyFont="1" applyFill="1" applyBorder="1" applyAlignment="1">
      <alignment horizontal="right"/>
    </xf>
    <xf numFmtId="166" fontId="8" fillId="2" borderId="26" xfId="1" applyNumberFormat="1" applyFont="1" applyFill="1" applyBorder="1" applyAlignment="1">
      <alignment horizontal="right"/>
    </xf>
    <xf numFmtId="166" fontId="8" fillId="3" borderId="26" xfId="1" applyNumberFormat="1" applyFont="1" applyFill="1" applyBorder="1" applyAlignment="1">
      <alignment horizontal="right"/>
    </xf>
    <xf numFmtId="171" fontId="8" fillId="2" borderId="57" xfId="1" applyNumberFormat="1" applyFont="1" applyFill="1" applyBorder="1" applyAlignment="1">
      <alignment horizontal="right"/>
    </xf>
    <xf numFmtId="171" fontId="8" fillId="3" borderId="66" xfId="1" applyNumberFormat="1" applyFont="1" applyFill="1" applyBorder="1" applyAlignment="1">
      <alignment horizontal="right"/>
    </xf>
    <xf numFmtId="171" fontId="8" fillId="3" borderId="67" xfId="1" applyNumberFormat="1" applyFont="1" applyFill="1" applyBorder="1" applyAlignment="1">
      <alignment horizontal="right"/>
    </xf>
    <xf numFmtId="171" fontId="8" fillId="2" borderId="57" xfId="1" applyNumberFormat="1" applyFont="1" applyFill="1" applyBorder="1"/>
    <xf numFmtId="171" fontId="0" fillId="2" borderId="68" xfId="2" applyNumberFormat="1" applyFont="1" applyFill="1" applyBorder="1" applyAlignment="1">
      <alignment horizontal="right"/>
    </xf>
    <xf numFmtId="171" fontId="15" fillId="2" borderId="68" xfId="2" applyNumberFormat="1" applyFont="1" applyFill="1" applyBorder="1" applyAlignment="1">
      <alignment horizontal="right"/>
    </xf>
    <xf numFmtId="171" fontId="8" fillId="0" borderId="57" xfId="1" applyNumberFormat="1" applyFont="1" applyFill="1" applyBorder="1" applyAlignment="1">
      <alignment horizontal="right"/>
    </xf>
    <xf numFmtId="0" fontId="8" fillId="3" borderId="56" xfId="0" applyFont="1" applyFill="1" applyBorder="1"/>
    <xf numFmtId="0" fontId="8" fillId="5" borderId="25" xfId="0" applyFont="1" applyFill="1" applyBorder="1"/>
    <xf numFmtId="0" fontId="8" fillId="3" borderId="25" xfId="0" applyFont="1" applyFill="1" applyBorder="1"/>
    <xf numFmtId="0" fontId="9" fillId="2" borderId="21" xfId="0" applyFont="1" applyFill="1" applyBorder="1"/>
    <xf numFmtId="0" fontId="8" fillId="3" borderId="53" xfId="0" applyFont="1" applyFill="1" applyBorder="1"/>
    <xf numFmtId="0" fontId="8" fillId="7" borderId="27" xfId="0" applyFont="1" applyFill="1" applyBorder="1"/>
    <xf numFmtId="172" fontId="0" fillId="0" borderId="0" xfId="0" applyNumberFormat="1"/>
    <xf numFmtId="9" fontId="0" fillId="2" borderId="0" xfId="0" applyNumberFormat="1" applyFill="1"/>
    <xf numFmtId="164" fontId="8" fillId="2" borderId="55" xfId="2" applyNumberFormat="1" applyFont="1" applyFill="1" applyBorder="1" applyAlignment="1">
      <alignment horizontal="center"/>
    </xf>
    <xf numFmtId="0" fontId="13" fillId="0" borderId="33" xfId="0" applyFont="1" applyBorder="1"/>
    <xf numFmtId="42" fontId="0" fillId="0" borderId="0" xfId="1" applyNumberFormat="1" applyFont="1"/>
    <xf numFmtId="42" fontId="0" fillId="0" borderId="20" xfId="1" applyNumberFormat="1" applyFont="1" applyBorder="1"/>
    <xf numFmtId="9" fontId="0" fillId="0" borderId="0" xfId="2" applyNumberFormat="1" applyFont="1"/>
    <xf numFmtId="166" fontId="8" fillId="2" borderId="0" xfId="0" applyNumberFormat="1" applyFont="1" applyFill="1" applyAlignment="1">
      <alignment horizontal="right"/>
    </xf>
    <xf numFmtId="171" fontId="8" fillId="2" borderId="26" xfId="2" applyNumberFormat="1" applyFont="1" applyFill="1" applyBorder="1" applyAlignment="1">
      <alignment horizontal="right"/>
    </xf>
    <xf numFmtId="171" fontId="8" fillId="2" borderId="24" xfId="2" applyNumberFormat="1" applyFont="1" applyFill="1" applyBorder="1" applyAlignment="1">
      <alignment horizontal="right"/>
    </xf>
    <xf numFmtId="0" fontId="8" fillId="2" borderId="21" xfId="0" applyFont="1" applyFill="1" applyBorder="1"/>
    <xf numFmtId="166" fontId="8" fillId="2" borderId="20" xfId="1" applyNumberFormat="1" applyFont="1" applyFill="1" applyBorder="1"/>
    <xf numFmtId="166" fontId="8" fillId="2" borderId="20" xfId="1" applyNumberFormat="1" applyFont="1" applyFill="1" applyBorder="1" applyAlignment="1">
      <alignment horizontal="right"/>
    </xf>
    <xf numFmtId="171" fontId="8" fillId="2" borderId="20" xfId="2" applyNumberFormat="1" applyFont="1" applyFill="1" applyBorder="1" applyAlignment="1">
      <alignment horizontal="right"/>
    </xf>
    <xf numFmtId="166" fontId="8" fillId="2" borderId="22" xfId="1" applyNumberFormat="1" applyFont="1" applyFill="1" applyBorder="1" applyAlignment="1">
      <alignment horizontal="right"/>
    </xf>
    <xf numFmtId="0" fontId="8" fillId="2" borderId="29" xfId="0" applyFont="1" applyFill="1" applyBorder="1"/>
    <xf numFmtId="166" fontId="8" fillId="2" borderId="30" xfId="1" applyNumberFormat="1" applyFont="1" applyFill="1" applyBorder="1" applyAlignment="1">
      <alignment horizontal="right"/>
    </xf>
    <xf numFmtId="171" fontId="8" fillId="2" borderId="30" xfId="2" applyNumberFormat="1" applyFont="1" applyFill="1" applyBorder="1" applyAlignment="1">
      <alignment horizontal="right"/>
    </xf>
    <xf numFmtId="166" fontId="8" fillId="2" borderId="31" xfId="1" applyNumberFormat="1" applyFont="1" applyFill="1" applyBorder="1" applyAlignment="1">
      <alignment horizontal="right"/>
    </xf>
    <xf numFmtId="0" fontId="8" fillId="2" borderId="8" xfId="0" applyFont="1" applyFill="1" applyBorder="1"/>
    <xf numFmtId="164" fontId="8" fillId="2" borderId="8" xfId="2" applyNumberFormat="1" applyFont="1" applyFill="1" applyBorder="1" applyAlignment="1">
      <alignment horizontal="center"/>
    </xf>
    <xf numFmtId="166" fontId="8" fillId="2" borderId="8" xfId="1" applyNumberFormat="1" applyFont="1" applyFill="1" applyBorder="1" applyAlignment="1">
      <alignment horizontal="right"/>
    </xf>
    <xf numFmtId="171" fontId="8" fillId="2" borderId="38" xfId="2" applyNumberFormat="1" applyFont="1" applyFill="1" applyBorder="1" applyAlignment="1">
      <alignment horizontal="right"/>
    </xf>
    <xf numFmtId="166" fontId="8" fillId="2" borderId="38" xfId="2" applyNumberFormat="1" applyFont="1" applyFill="1" applyBorder="1" applyAlignment="1">
      <alignment horizontal="right"/>
    </xf>
    <xf numFmtId="0" fontId="8" fillId="0" borderId="0" xfId="0" applyFont="1" applyAlignment="1">
      <alignment horizontal="center" wrapText="1"/>
    </xf>
    <xf numFmtId="44" fontId="0" fillId="2" borderId="0" xfId="0" applyNumberFormat="1" applyFill="1"/>
    <xf numFmtId="0" fontId="8" fillId="2" borderId="69" xfId="0" applyFont="1" applyFill="1" applyBorder="1"/>
    <xf numFmtId="44" fontId="0" fillId="2" borderId="69" xfId="0" applyNumberFormat="1" applyFill="1" applyBorder="1" applyAlignment="1">
      <alignment horizontal="right"/>
    </xf>
    <xf numFmtId="42" fontId="19" fillId="2" borderId="69" xfId="2" applyNumberFormat="1" applyFont="1" applyFill="1" applyBorder="1" applyAlignment="1">
      <alignment horizontal="right"/>
    </xf>
    <xf numFmtId="164" fontId="0" fillId="2" borderId="69" xfId="2" applyNumberFormat="1" applyFont="1" applyFill="1" applyBorder="1" applyAlignment="1">
      <alignment horizontal="right"/>
    </xf>
    <xf numFmtId="0" fontId="17" fillId="2" borderId="69" xfId="0" applyFont="1" applyFill="1" applyBorder="1"/>
    <xf numFmtId="44" fontId="18" fillId="2" borderId="69" xfId="0" applyNumberFormat="1" applyFont="1" applyFill="1" applyBorder="1" applyAlignment="1">
      <alignment horizontal="right"/>
    </xf>
    <xf numFmtId="164" fontId="18" fillId="2" borderId="69" xfId="2" applyNumberFormat="1" applyFont="1" applyFill="1" applyBorder="1" applyAlignment="1">
      <alignment horizontal="right"/>
    </xf>
    <xf numFmtId="164" fontId="0" fillId="2" borderId="69" xfId="0" applyNumberFormat="1" applyFill="1" applyBorder="1" applyAlignment="1">
      <alignment horizontal="right"/>
    </xf>
    <xf numFmtId="44" fontId="0" fillId="2" borderId="40" xfId="0" applyNumberFormat="1" applyFill="1" applyBorder="1" applyAlignment="1">
      <alignment horizontal="right"/>
    </xf>
    <xf numFmtId="42" fontId="19" fillId="2" borderId="40" xfId="2" applyNumberFormat="1" applyFont="1" applyFill="1" applyBorder="1" applyAlignment="1">
      <alignment horizontal="right"/>
    </xf>
    <xf numFmtId="164" fontId="0" fillId="2" borderId="40" xfId="2" applyNumberFormat="1" applyFont="1" applyFill="1" applyBorder="1" applyAlignment="1">
      <alignment horizontal="right"/>
    </xf>
    <xf numFmtId="42" fontId="18" fillId="2" borderId="69" xfId="2" applyNumberFormat="1" applyFont="1" applyFill="1" applyBorder="1" applyAlignment="1">
      <alignment horizontal="right"/>
    </xf>
    <xf numFmtId="164" fontId="0" fillId="0" borderId="0" xfId="0" applyNumberFormat="1" applyAlignment="1">
      <alignment horizontal="right"/>
    </xf>
    <xf numFmtId="171" fontId="0" fillId="0" borderId="0" xfId="0" applyNumberFormat="1" applyAlignment="1">
      <alignment horizontal="right"/>
    </xf>
    <xf numFmtId="173" fontId="0" fillId="0" borderId="0" xfId="0" applyNumberFormat="1" applyAlignment="1">
      <alignment horizontal="right"/>
    </xf>
    <xf numFmtId="173" fontId="0" fillId="0" borderId="20" xfId="0" applyNumberFormat="1" applyBorder="1"/>
    <xf numFmtId="9" fontId="0" fillId="0" borderId="0" xfId="0" applyNumberFormat="1"/>
    <xf numFmtId="0" fontId="0" fillId="4" borderId="0" xfId="0" applyFill="1"/>
    <xf numFmtId="0" fontId="0" fillId="0" borderId="8" xfId="0" applyBorder="1"/>
    <xf numFmtId="3" fontId="0" fillId="0" borderId="0" xfId="0" applyNumberFormat="1"/>
    <xf numFmtId="0" fontId="30" fillId="0" borderId="82" xfId="6" applyFont="1" applyBorder="1"/>
    <xf numFmtId="0" fontId="7" fillId="0" borderId="16" xfId="6" applyBorder="1"/>
    <xf numFmtId="0" fontId="7" fillId="0" borderId="16" xfId="6" applyBorder="1" applyAlignment="1">
      <alignment horizontal="right"/>
    </xf>
    <xf numFmtId="0" fontId="7" fillId="0" borderId="83" xfId="6" applyBorder="1" applyAlignment="1">
      <alignment horizontal="right"/>
    </xf>
    <xf numFmtId="0" fontId="31" fillId="2" borderId="70" xfId="6" applyFont="1" applyFill="1" applyBorder="1" applyAlignment="1">
      <alignment horizontal="center" vertical="center" wrapText="1"/>
    </xf>
    <xf numFmtId="3" fontId="31" fillId="2" borderId="70" xfId="6" applyNumberFormat="1" applyFont="1" applyFill="1" applyBorder="1" applyAlignment="1">
      <alignment horizontal="center" vertical="center" wrapText="1"/>
    </xf>
    <xf numFmtId="0" fontId="0" fillId="8" borderId="0" xfId="0" applyFill="1"/>
    <xf numFmtId="0" fontId="32" fillId="8" borderId="70" xfId="6" applyFont="1" applyFill="1" applyBorder="1" applyAlignment="1">
      <alignment vertical="center"/>
    </xf>
    <xf numFmtId="0" fontId="32" fillId="8" borderId="70" xfId="6" applyFont="1" applyFill="1" applyBorder="1" applyAlignment="1">
      <alignment vertical="center" wrapText="1"/>
    </xf>
    <xf numFmtId="3" fontId="32" fillId="8" borderId="70" xfId="6" applyNumberFormat="1" applyFont="1" applyFill="1" applyBorder="1" applyAlignment="1">
      <alignment horizontal="center" vertical="center"/>
    </xf>
    <xf numFmtId="164" fontId="20" fillId="8" borderId="70" xfId="7" applyNumberFormat="1" applyFont="1" applyFill="1" applyBorder="1" applyAlignment="1">
      <alignment horizontal="right" vertical="center"/>
    </xf>
    <xf numFmtId="174" fontId="20" fillId="8" borderId="70" xfId="8" applyNumberFormat="1" applyFont="1" applyFill="1" applyBorder="1" applyAlignment="1">
      <alignment horizontal="right" vertical="center"/>
    </xf>
    <xf numFmtId="9" fontId="20" fillId="8" borderId="70" xfId="8" applyFont="1" applyFill="1" applyBorder="1" applyAlignment="1">
      <alignment horizontal="right" vertical="center"/>
    </xf>
    <xf numFmtId="164" fontId="14" fillId="8" borderId="70" xfId="6" applyNumberFormat="1" applyFont="1" applyFill="1" applyBorder="1" applyAlignment="1">
      <alignment horizontal="right" vertical="center"/>
    </xf>
    <xf numFmtId="0" fontId="0" fillId="9" borderId="0" xfId="0" applyFill="1"/>
    <xf numFmtId="0" fontId="32" fillId="9" borderId="70" xfId="6" applyFont="1" applyFill="1" applyBorder="1" applyAlignment="1">
      <alignment vertical="center"/>
    </xf>
    <xf numFmtId="0" fontId="32" fillId="9" borderId="70" xfId="6" applyFont="1" applyFill="1" applyBorder="1" applyAlignment="1">
      <alignment vertical="center" wrapText="1"/>
    </xf>
    <xf numFmtId="3" fontId="32" fillId="9" borderId="70" xfId="6" applyNumberFormat="1" applyFont="1" applyFill="1" applyBorder="1" applyAlignment="1">
      <alignment horizontal="center" vertical="center"/>
    </xf>
    <xf numFmtId="164" fontId="20" fillId="9" borderId="70" xfId="7" applyNumberFormat="1" applyFont="1" applyFill="1" applyBorder="1" applyAlignment="1">
      <alignment horizontal="right" vertical="center"/>
    </xf>
    <xf numFmtId="174" fontId="20" fillId="9" borderId="70" xfId="8" applyNumberFormat="1" applyFont="1" applyFill="1" applyBorder="1" applyAlignment="1">
      <alignment horizontal="right" vertical="center"/>
    </xf>
    <xf numFmtId="9" fontId="20" fillId="9" borderId="70" xfId="8" applyFont="1" applyFill="1" applyBorder="1" applyAlignment="1">
      <alignment horizontal="right" vertical="center"/>
    </xf>
    <xf numFmtId="164" fontId="14" fillId="9" borderId="70" xfId="6" applyNumberFormat="1" applyFont="1" applyFill="1" applyBorder="1" applyAlignment="1">
      <alignment horizontal="right" vertical="center"/>
    </xf>
    <xf numFmtId="0" fontId="32" fillId="4" borderId="70" xfId="6" applyFont="1" applyFill="1" applyBorder="1" applyAlignment="1">
      <alignment vertical="center"/>
    </xf>
    <xf numFmtId="0" fontId="32" fillId="4" borderId="70" xfId="6" applyFont="1" applyFill="1" applyBorder="1" applyAlignment="1">
      <alignment vertical="center" wrapText="1"/>
    </xf>
    <xf numFmtId="3" fontId="32" fillId="4" borderId="70" xfId="6" applyNumberFormat="1" applyFont="1" applyFill="1" applyBorder="1" applyAlignment="1">
      <alignment horizontal="center" vertical="center"/>
    </xf>
    <xf numFmtId="164" fontId="20" fillId="4" borderId="70" xfId="7" applyNumberFormat="1" applyFont="1" applyFill="1" applyBorder="1" applyAlignment="1">
      <alignment horizontal="right" vertical="center"/>
    </xf>
    <xf numFmtId="174" fontId="20" fillId="4" borderId="70" xfId="8" applyNumberFormat="1" applyFont="1" applyFill="1" applyBorder="1" applyAlignment="1">
      <alignment horizontal="right" vertical="center"/>
    </xf>
    <xf numFmtId="9" fontId="20" fillId="4" borderId="70" xfId="8" applyFont="1" applyFill="1" applyBorder="1" applyAlignment="1">
      <alignment horizontal="right" vertical="center"/>
    </xf>
    <xf numFmtId="164" fontId="14" fillId="4" borderId="70" xfId="6" applyNumberFormat="1" applyFont="1" applyFill="1" applyBorder="1" applyAlignment="1">
      <alignment horizontal="right" vertical="center"/>
    </xf>
    <xf numFmtId="0" fontId="0" fillId="10" borderId="0" xfId="0" applyFill="1"/>
    <xf numFmtId="0" fontId="20" fillId="10" borderId="70" xfId="0" applyFont="1" applyFill="1" applyBorder="1"/>
    <xf numFmtId="0" fontId="20" fillId="10" borderId="70" xfId="0" applyFont="1" applyFill="1" applyBorder="1" applyAlignment="1">
      <alignment horizontal="center"/>
    </xf>
    <xf numFmtId="3" fontId="20" fillId="10" borderId="70" xfId="0" applyNumberFormat="1" applyFont="1" applyFill="1" applyBorder="1"/>
    <xf numFmtId="174" fontId="20" fillId="10" borderId="70" xfId="0" applyNumberFormat="1" applyFont="1" applyFill="1" applyBorder="1"/>
    <xf numFmtId="9" fontId="20" fillId="10" borderId="70" xfId="0" applyNumberFormat="1" applyFont="1" applyFill="1" applyBorder="1"/>
    <xf numFmtId="3" fontId="14" fillId="10" borderId="70" xfId="0" applyNumberFormat="1" applyFont="1" applyFill="1" applyBorder="1"/>
    <xf numFmtId="0" fontId="0" fillId="11" borderId="0" xfId="0" applyFill="1"/>
    <xf numFmtId="0" fontId="20" fillId="11" borderId="70" xfId="0" applyFont="1" applyFill="1" applyBorder="1"/>
    <xf numFmtId="0" fontId="20" fillId="11" borderId="70" xfId="0" applyFont="1" applyFill="1" applyBorder="1" applyAlignment="1">
      <alignment horizontal="center"/>
    </xf>
    <xf numFmtId="3" fontId="20" fillId="11" borderId="70" xfId="0" applyNumberFormat="1" applyFont="1" applyFill="1" applyBorder="1"/>
    <xf numFmtId="174" fontId="20" fillId="11" borderId="70" xfId="0" applyNumberFormat="1" applyFont="1" applyFill="1" applyBorder="1"/>
    <xf numFmtId="9" fontId="20" fillId="11" borderId="70" xfId="0" applyNumberFormat="1" applyFont="1" applyFill="1" applyBorder="1"/>
    <xf numFmtId="3" fontId="14" fillId="11" borderId="70" xfId="0" applyNumberFormat="1" applyFont="1" applyFill="1" applyBorder="1"/>
    <xf numFmtId="0" fontId="0" fillId="5" borderId="0" xfId="0" applyFill="1"/>
    <xf numFmtId="0" fontId="20" fillId="5" borderId="70" xfId="0" applyFont="1" applyFill="1" applyBorder="1"/>
    <xf numFmtId="0" fontId="20" fillId="5" borderId="70" xfId="0" applyFont="1" applyFill="1" applyBorder="1" applyAlignment="1">
      <alignment horizontal="center"/>
    </xf>
    <xf numFmtId="3" fontId="20" fillId="5" borderId="70" xfId="0" applyNumberFormat="1" applyFont="1" applyFill="1" applyBorder="1"/>
    <xf numFmtId="174" fontId="20" fillId="5" borderId="70" xfId="0" applyNumberFormat="1" applyFont="1" applyFill="1" applyBorder="1"/>
    <xf numFmtId="9" fontId="20" fillId="5" borderId="70" xfId="0" applyNumberFormat="1" applyFont="1" applyFill="1" applyBorder="1"/>
    <xf numFmtId="3" fontId="14" fillId="5" borderId="70" xfId="0" applyNumberFormat="1" applyFont="1" applyFill="1" applyBorder="1"/>
    <xf numFmtId="0" fontId="20" fillId="5" borderId="84" xfId="0" applyFont="1" applyFill="1" applyBorder="1"/>
    <xf numFmtId="0" fontId="20" fillId="5" borderId="84" xfId="0" applyFont="1" applyFill="1" applyBorder="1" applyAlignment="1">
      <alignment horizontal="center"/>
    </xf>
    <xf numFmtId="3" fontId="20" fillId="5" borderId="84" xfId="0" applyNumberFormat="1" applyFont="1" applyFill="1" applyBorder="1"/>
    <xf numFmtId="174" fontId="20" fillId="5" borderId="84" xfId="0" applyNumberFormat="1" applyFont="1" applyFill="1" applyBorder="1"/>
    <xf numFmtId="9" fontId="20" fillId="5" borderId="84" xfId="0" applyNumberFormat="1" applyFont="1" applyFill="1" applyBorder="1"/>
    <xf numFmtId="3" fontId="14" fillId="5" borderId="84" xfId="0" applyNumberFormat="1" applyFont="1" applyFill="1" applyBorder="1"/>
    <xf numFmtId="0" fontId="0" fillId="6" borderId="0" xfId="0" applyFill="1"/>
    <xf numFmtId="0" fontId="20" fillId="6" borderId="85" xfId="0" applyFont="1" applyFill="1" applyBorder="1"/>
    <xf numFmtId="0" fontId="20" fillId="3" borderId="86" xfId="0" applyFont="1" applyFill="1" applyBorder="1"/>
    <xf numFmtId="0" fontId="20" fillId="3" borderId="87" xfId="0" applyFont="1" applyFill="1" applyBorder="1" applyAlignment="1">
      <alignment horizontal="center"/>
    </xf>
    <xf numFmtId="5" fontId="20" fillId="3" borderId="87" xfId="1" applyNumberFormat="1" applyFont="1" applyFill="1" applyBorder="1" applyAlignment="1"/>
    <xf numFmtId="174" fontId="20" fillId="3" borderId="87" xfId="0" applyNumberFormat="1" applyFont="1" applyFill="1" applyBorder="1"/>
    <xf numFmtId="9" fontId="20" fillId="3" borderId="87" xfId="0" applyNumberFormat="1" applyFont="1" applyFill="1" applyBorder="1"/>
    <xf numFmtId="5" fontId="14" fillId="3" borderId="87" xfId="1" applyNumberFormat="1" applyFont="1" applyFill="1" applyBorder="1" applyAlignment="1"/>
    <xf numFmtId="5" fontId="14" fillId="3" borderId="88" xfId="1" applyNumberFormat="1" applyFont="1" applyFill="1" applyBorder="1" applyAlignment="1"/>
    <xf numFmtId="0" fontId="20" fillId="3" borderId="89" xfId="0" applyFont="1" applyFill="1" applyBorder="1"/>
    <xf numFmtId="0" fontId="20" fillId="3" borderId="90" xfId="0" applyFont="1" applyFill="1" applyBorder="1" applyAlignment="1">
      <alignment horizontal="center"/>
    </xf>
    <xf numFmtId="5" fontId="20" fillId="3" borderId="90" xfId="1" applyNumberFormat="1" applyFont="1" applyFill="1" applyBorder="1" applyAlignment="1"/>
    <xf numFmtId="174" fontId="20" fillId="3" borderId="90" xfId="0" applyNumberFormat="1" applyFont="1" applyFill="1" applyBorder="1"/>
    <xf numFmtId="9" fontId="20" fillId="3" borderId="90" xfId="0" applyNumberFormat="1" applyFont="1" applyFill="1" applyBorder="1"/>
    <xf numFmtId="5" fontId="14" fillId="3" borderId="90" xfId="1" applyNumberFormat="1" applyFont="1" applyFill="1" applyBorder="1" applyAlignment="1"/>
    <xf numFmtId="5" fontId="14" fillId="3" borderId="91" xfId="1" applyNumberFormat="1" applyFont="1" applyFill="1" applyBorder="1" applyAlignment="1"/>
    <xf numFmtId="0" fontId="20" fillId="12" borderId="89" xfId="0" applyFont="1" applyFill="1" applyBorder="1"/>
    <xf numFmtId="0" fontId="20" fillId="12" borderId="90" xfId="0" applyFont="1" applyFill="1" applyBorder="1" applyAlignment="1">
      <alignment horizontal="center"/>
    </xf>
    <xf numFmtId="5" fontId="20" fillId="12" borderId="90" xfId="1" applyNumberFormat="1" applyFont="1" applyFill="1" applyBorder="1" applyAlignment="1"/>
    <xf numFmtId="174" fontId="20" fillId="12" borderId="90" xfId="0" applyNumberFormat="1" applyFont="1" applyFill="1" applyBorder="1"/>
    <xf numFmtId="9" fontId="20" fillId="12" borderId="90" xfId="0" applyNumberFormat="1" applyFont="1" applyFill="1" applyBorder="1"/>
    <xf numFmtId="5" fontId="14" fillId="12" borderId="90" xfId="1" applyNumberFormat="1" applyFont="1" applyFill="1" applyBorder="1" applyAlignment="1"/>
    <xf numFmtId="5" fontId="14" fillId="12" borderId="91" xfId="1" applyNumberFormat="1" applyFont="1" applyFill="1" applyBorder="1" applyAlignment="1"/>
    <xf numFmtId="170" fontId="0" fillId="0" borderId="0" xfId="0" applyNumberFormat="1"/>
    <xf numFmtId="0" fontId="18" fillId="0" borderId="0" xfId="0" applyFont="1"/>
    <xf numFmtId="0" fontId="0" fillId="0" borderId="2" xfId="0" applyBorder="1"/>
    <xf numFmtId="0" fontId="0" fillId="0" borderId="82" xfId="0" applyBorder="1"/>
    <xf numFmtId="0" fontId="0" fillId="0" borderId="100" xfId="0" applyBorder="1"/>
    <xf numFmtId="0" fontId="0" fillId="0" borderId="81" xfId="0" applyBorder="1"/>
    <xf numFmtId="0" fontId="0" fillId="0" borderId="78" xfId="0" applyBorder="1"/>
    <xf numFmtId="0" fontId="37" fillId="0" borderId="0" xfId="0" applyFont="1"/>
    <xf numFmtId="166" fontId="0" fillId="0" borderId="14" xfId="1" applyNumberFormat="1" applyFont="1" applyBorder="1"/>
    <xf numFmtId="166" fontId="39" fillId="0" borderId="0" xfId="1" applyNumberFormat="1" applyFont="1"/>
    <xf numFmtId="9" fontId="0" fillId="0" borderId="0" xfId="3" applyFont="1"/>
    <xf numFmtId="0" fontId="40" fillId="0" borderId="0" xfId="0" applyFont="1"/>
    <xf numFmtId="0" fontId="41" fillId="0" borderId="0" xfId="0" applyFont="1"/>
    <xf numFmtId="0" fontId="13" fillId="0" borderId="0" xfId="0" applyFont="1"/>
    <xf numFmtId="0" fontId="41" fillId="0" borderId="74" xfId="0" applyFont="1" applyBorder="1"/>
    <xf numFmtId="0" fontId="13" fillId="0" borderId="0" xfId="0" applyFont="1" applyAlignment="1">
      <alignment horizontal="center"/>
    </xf>
    <xf numFmtId="0" fontId="13" fillId="0" borderId="7" xfId="0" applyFont="1" applyBorder="1"/>
    <xf numFmtId="0" fontId="41" fillId="0" borderId="77" xfId="0" applyFont="1" applyBorder="1"/>
    <xf numFmtId="0" fontId="41" fillId="0" borderId="8" xfId="0" applyFont="1" applyBorder="1"/>
    <xf numFmtId="0" fontId="42" fillId="0" borderId="0" xfId="0" applyFont="1"/>
    <xf numFmtId="0" fontId="43" fillId="0" borderId="0" xfId="9" applyFont="1"/>
    <xf numFmtId="0" fontId="41" fillId="14" borderId="0" xfId="0" applyFont="1" applyFill="1"/>
    <xf numFmtId="0" fontId="41" fillId="15" borderId="0" xfId="0" applyFont="1" applyFill="1"/>
    <xf numFmtId="0" fontId="13" fillId="0" borderId="96" xfId="0" applyFont="1" applyBorder="1"/>
    <xf numFmtId="0" fontId="13" fillId="0" borderId="85" xfId="0" applyFont="1" applyBorder="1"/>
    <xf numFmtId="0" fontId="41" fillId="0" borderId="70" xfId="0" applyFont="1" applyBorder="1"/>
    <xf numFmtId="0" fontId="13" fillId="0" borderId="9" xfId="0" applyFont="1" applyBorder="1"/>
    <xf numFmtId="0" fontId="13" fillId="0" borderId="97" xfId="0" applyFont="1" applyBorder="1"/>
    <xf numFmtId="0" fontId="13" fillId="0" borderId="98" xfId="0" applyFont="1" applyBorder="1" applyAlignment="1">
      <alignment horizontal="center"/>
    </xf>
    <xf numFmtId="0" fontId="41" fillId="0" borderId="99" xfId="0" applyFont="1" applyBorder="1"/>
    <xf numFmtId="0" fontId="41" fillId="0" borderId="2" xfId="0" applyFont="1" applyBorder="1"/>
    <xf numFmtId="0" fontId="13" fillId="0" borderId="2" xfId="0" applyFont="1" applyBorder="1"/>
    <xf numFmtId="0" fontId="41" fillId="0" borderId="82" xfId="0" applyFont="1" applyBorder="1"/>
    <xf numFmtId="0" fontId="13" fillId="0" borderId="82" xfId="0" applyFont="1" applyBorder="1"/>
    <xf numFmtId="0" fontId="13" fillId="0" borderId="16" xfId="0" applyFont="1" applyBorder="1"/>
    <xf numFmtId="0" fontId="13" fillId="0" borderId="99" xfId="0" applyFont="1" applyBorder="1"/>
    <xf numFmtId="3" fontId="13" fillId="0" borderId="7" xfId="0" applyNumberFormat="1" applyFont="1" applyBorder="1"/>
    <xf numFmtId="3" fontId="41" fillId="0" borderId="0" xfId="0" applyNumberFormat="1" applyFont="1"/>
    <xf numFmtId="0" fontId="41" fillId="0" borderId="101" xfId="0" applyFont="1" applyBorder="1"/>
    <xf numFmtId="0" fontId="41" fillId="0" borderId="81" xfId="0" applyFont="1" applyBorder="1"/>
    <xf numFmtId="170" fontId="41" fillId="0" borderId="0" xfId="0" applyNumberFormat="1" applyFont="1"/>
    <xf numFmtId="0" fontId="13" fillId="0" borderId="93" xfId="0" applyFont="1" applyBorder="1"/>
    <xf numFmtId="0" fontId="41" fillId="0" borderId="94" xfId="0" applyFont="1" applyBorder="1"/>
    <xf numFmtId="3" fontId="41" fillId="0" borderId="13" xfId="0" applyNumberFormat="1" applyFont="1" applyBorder="1"/>
    <xf numFmtId="170" fontId="13" fillId="0" borderId="0" xfId="0" applyNumberFormat="1" applyFont="1"/>
    <xf numFmtId="3" fontId="41" fillId="0" borderId="70" xfId="0" applyNumberFormat="1" applyFont="1" applyBorder="1"/>
    <xf numFmtId="0" fontId="41" fillId="0" borderId="13" xfId="0" applyFont="1" applyBorder="1"/>
    <xf numFmtId="9" fontId="41" fillId="0" borderId="13" xfId="0" applyNumberFormat="1" applyFont="1" applyBorder="1"/>
    <xf numFmtId="9" fontId="41" fillId="0" borderId="82" xfId="0" applyNumberFormat="1" applyFont="1" applyBorder="1"/>
    <xf numFmtId="9" fontId="41" fillId="0" borderId="108" xfId="0" applyNumberFormat="1" applyFont="1" applyBorder="1"/>
    <xf numFmtId="9" fontId="41" fillId="0" borderId="0" xfId="0" applyNumberFormat="1" applyFont="1"/>
    <xf numFmtId="9" fontId="41" fillId="0" borderId="70" xfId="0" applyNumberFormat="1" applyFont="1" applyBorder="1"/>
    <xf numFmtId="9" fontId="41" fillId="0" borderId="85" xfId="0" applyNumberFormat="1" applyFont="1" applyBorder="1"/>
    <xf numFmtId="3" fontId="13" fillId="0" borderId="70" xfId="0" applyNumberFormat="1" applyFont="1" applyBorder="1"/>
    <xf numFmtId="0" fontId="41" fillId="6" borderId="70" xfId="0" applyFont="1" applyFill="1" applyBorder="1"/>
    <xf numFmtId="0" fontId="41" fillId="11" borderId="13" xfId="0" applyFont="1" applyFill="1" applyBorder="1"/>
    <xf numFmtId="0" fontId="41" fillId="11" borderId="13" xfId="0" applyFont="1" applyFill="1" applyBorder="1" applyAlignment="1">
      <alignment horizontal="center"/>
    </xf>
    <xf numFmtId="0" fontId="46" fillId="0" borderId="0" xfId="0" applyFont="1"/>
    <xf numFmtId="9" fontId="13" fillId="0" borderId="0" xfId="3" applyFont="1"/>
    <xf numFmtId="0" fontId="41" fillId="2" borderId="0" xfId="0" applyFont="1" applyFill="1"/>
    <xf numFmtId="3" fontId="45" fillId="16" borderId="3" xfId="0" applyNumberFormat="1" applyFont="1" applyFill="1" applyBorder="1"/>
    <xf numFmtId="3" fontId="45" fillId="16" borderId="102" xfId="0" applyNumberFormat="1" applyFont="1" applyFill="1" applyBorder="1"/>
    <xf numFmtId="9" fontId="41" fillId="0" borderId="0" xfId="3" applyFont="1"/>
    <xf numFmtId="9" fontId="41" fillId="0" borderId="109" xfId="0" applyNumberFormat="1" applyFont="1" applyBorder="1"/>
    <xf numFmtId="0" fontId="7" fillId="0" borderId="0" xfId="0" applyFont="1"/>
    <xf numFmtId="44" fontId="47" fillId="2" borderId="71" xfId="2" applyFont="1" applyFill="1" applyBorder="1"/>
    <xf numFmtId="0" fontId="47" fillId="2" borderId="73" xfId="1" applyNumberFormat="1" applyFont="1" applyFill="1" applyBorder="1" applyAlignment="1">
      <alignment horizontal="center"/>
    </xf>
    <xf numFmtId="44" fontId="47" fillId="2" borderId="110" xfId="2" applyFont="1" applyFill="1" applyBorder="1"/>
    <xf numFmtId="0" fontId="47" fillId="2" borderId="98" xfId="1" applyNumberFormat="1" applyFont="1" applyFill="1" applyBorder="1" applyAlignment="1">
      <alignment horizontal="center"/>
    </xf>
    <xf numFmtId="44" fontId="47" fillId="2" borderId="74" xfId="2" applyFont="1" applyFill="1" applyBorder="1"/>
    <xf numFmtId="0" fontId="47" fillId="2" borderId="7" xfId="1" applyNumberFormat="1" applyFont="1" applyFill="1" applyBorder="1" applyAlignment="1">
      <alignment horizontal="center"/>
    </xf>
    <xf numFmtId="44" fontId="53" fillId="17" borderId="77" xfId="2" applyFont="1" applyFill="1" applyBorder="1"/>
    <xf numFmtId="0" fontId="53" fillId="17" borderId="78" xfId="1" applyNumberFormat="1" applyFont="1" applyFill="1" applyBorder="1" applyAlignment="1">
      <alignment horizontal="center"/>
    </xf>
    <xf numFmtId="44" fontId="53" fillId="17" borderId="0" xfId="2" applyFont="1" applyFill="1"/>
    <xf numFmtId="0" fontId="53" fillId="17" borderId="0" xfId="1" applyNumberFormat="1" applyFont="1" applyFill="1" applyAlignment="1">
      <alignment horizontal="center"/>
    </xf>
    <xf numFmtId="0" fontId="47" fillId="0" borderId="0" xfId="0" applyFont="1"/>
    <xf numFmtId="0" fontId="54" fillId="0" borderId="0" xfId="0" applyFont="1"/>
    <xf numFmtId="44" fontId="47" fillId="0" borderId="0" xfId="0" applyNumberFormat="1" applyFont="1"/>
    <xf numFmtId="175" fontId="47" fillId="0" borderId="0" xfId="0" applyNumberFormat="1" applyFont="1"/>
    <xf numFmtId="0" fontId="54" fillId="0" borderId="0" xfId="0" applyFont="1" applyAlignment="1">
      <alignment horizontal="center"/>
    </xf>
    <xf numFmtId="44" fontId="54" fillId="0" borderId="0" xfId="0" applyNumberFormat="1" applyFont="1"/>
    <xf numFmtId="44" fontId="54" fillId="0" borderId="112" xfId="0" applyNumberFormat="1" applyFont="1" applyBorder="1"/>
    <xf numFmtId="0" fontId="54" fillId="0" borderId="113" xfId="0" applyFont="1" applyBorder="1"/>
    <xf numFmtId="44" fontId="47" fillId="0" borderId="0" xfId="2" applyFont="1"/>
    <xf numFmtId="0" fontId="41" fillId="0" borderId="114" xfId="0" applyFont="1" applyBorder="1"/>
    <xf numFmtId="170" fontId="41" fillId="2" borderId="70" xfId="0" applyNumberFormat="1" applyFont="1" applyFill="1" applyBorder="1"/>
    <xf numFmtId="0" fontId="13" fillId="2" borderId="70" xfId="0" applyFont="1" applyFill="1" applyBorder="1"/>
    <xf numFmtId="0" fontId="46" fillId="2" borderId="92" xfId="0" applyFont="1" applyFill="1" applyBorder="1" applyAlignment="1">
      <alignment horizontal="left"/>
    </xf>
    <xf numFmtId="0" fontId="46" fillId="2" borderId="93" xfId="0" applyFont="1" applyFill="1" applyBorder="1"/>
    <xf numFmtId="0" fontId="44" fillId="2" borderId="94" xfId="0" applyFont="1" applyFill="1" applyBorder="1"/>
    <xf numFmtId="0" fontId="44" fillId="2" borderId="95" xfId="0" applyFont="1" applyFill="1" applyBorder="1"/>
    <xf numFmtId="9" fontId="13" fillId="4" borderId="108" xfId="0" applyNumberFormat="1" applyFont="1" applyFill="1" applyBorder="1"/>
    <xf numFmtId="9" fontId="13" fillId="4" borderId="109" xfId="0" applyNumberFormat="1" applyFont="1" applyFill="1" applyBorder="1"/>
    <xf numFmtId="0" fontId="0" fillId="3" borderId="0" xfId="0" applyFill="1"/>
    <xf numFmtId="169" fontId="41" fillId="0" borderId="0" xfId="0" applyNumberFormat="1" applyFont="1"/>
    <xf numFmtId="0" fontId="56" fillId="18" borderId="105" xfId="0" applyFont="1" applyFill="1" applyBorder="1"/>
    <xf numFmtId="0" fontId="48" fillId="18" borderId="106" xfId="0" applyFont="1" applyFill="1" applyBorder="1"/>
    <xf numFmtId="0" fontId="56" fillId="18" borderId="106" xfId="0" applyFont="1" applyFill="1" applyBorder="1"/>
    <xf numFmtId="0" fontId="56" fillId="18" borderId="107" xfId="0" applyFont="1" applyFill="1" applyBorder="1"/>
    <xf numFmtId="0" fontId="48" fillId="18" borderId="79" xfId="0" applyFont="1" applyFill="1" applyBorder="1" applyAlignment="1">
      <alignment horizontal="center"/>
    </xf>
    <xf numFmtId="0" fontId="48" fillId="18" borderId="92" xfId="0" applyFont="1" applyFill="1" applyBorder="1"/>
    <xf numFmtId="0" fontId="56" fillId="18" borderId="103" xfId="0" applyFont="1" applyFill="1" applyBorder="1"/>
    <xf numFmtId="0" fontId="56" fillId="18" borderId="104" xfId="0" applyFont="1" applyFill="1" applyBorder="1"/>
    <xf numFmtId="0" fontId="48" fillId="18" borderId="17" xfId="0" applyFont="1" applyFill="1" applyBorder="1"/>
    <xf numFmtId="0" fontId="56" fillId="18" borderId="18" xfId="0" applyFont="1" applyFill="1" applyBorder="1"/>
    <xf numFmtId="0" fontId="56" fillId="18" borderId="19" xfId="0" applyFont="1" applyFill="1" applyBorder="1"/>
    <xf numFmtId="44" fontId="0" fillId="0" borderId="0" xfId="0" applyNumberFormat="1"/>
    <xf numFmtId="9" fontId="8" fillId="0" borderId="0" xfId="0" applyNumberFormat="1" applyFont="1" applyAlignment="1">
      <alignment horizontal="center"/>
    </xf>
    <xf numFmtId="0" fontId="8" fillId="0" borderId="0" xfId="0" applyFont="1" applyAlignment="1">
      <alignment horizontal="center" vertical="center"/>
    </xf>
    <xf numFmtId="44" fontId="7" fillId="0" borderId="0" xfId="2" applyFont="1" applyAlignment="1">
      <alignment horizontal="center"/>
    </xf>
    <xf numFmtId="0" fontId="8" fillId="0" borderId="0" xfId="0" applyFont="1" applyAlignment="1">
      <alignment horizontal="left" vertical="center"/>
    </xf>
    <xf numFmtId="0" fontId="58" fillId="0" borderId="0" xfId="0" applyFont="1" applyAlignment="1">
      <alignment horizontal="right"/>
    </xf>
    <xf numFmtId="170" fontId="41" fillId="15" borderId="0" xfId="0" applyNumberFormat="1" applyFont="1" applyFill="1"/>
    <xf numFmtId="0" fontId="41" fillId="0" borderId="120" xfId="0" applyFont="1" applyBorder="1"/>
    <xf numFmtId="0" fontId="41" fillId="0" borderId="121" xfId="0" applyFont="1" applyBorder="1"/>
    <xf numFmtId="0" fontId="0" fillId="0" borderId="0" xfId="0" applyAlignment="1">
      <alignment vertical="center"/>
    </xf>
    <xf numFmtId="0" fontId="59" fillId="0" borderId="0" xfId="0" applyFont="1"/>
    <xf numFmtId="169" fontId="0" fillId="0" borderId="0" xfId="0" applyNumberFormat="1"/>
    <xf numFmtId="0" fontId="18" fillId="0" borderId="17" xfId="0" applyFont="1" applyBorder="1"/>
    <xf numFmtId="0" fontId="18" fillId="0" borderId="19" xfId="0" applyFont="1" applyBorder="1"/>
    <xf numFmtId="0" fontId="15" fillId="0" borderId="0" xfId="0" applyFont="1"/>
    <xf numFmtId="175" fontId="0" fillId="0" borderId="0" xfId="3" applyNumberFormat="1" applyFont="1"/>
    <xf numFmtId="175" fontId="15" fillId="0" borderId="0" xfId="3" applyNumberFormat="1" applyFont="1"/>
    <xf numFmtId="10" fontId="0" fillId="0" borderId="0" xfId="3" applyNumberFormat="1" applyFont="1"/>
    <xf numFmtId="0" fontId="18" fillId="2" borderId="0" xfId="0" applyFont="1" applyFill="1"/>
    <xf numFmtId="0" fontId="15" fillId="2" borderId="0" xfId="0" applyFont="1" applyFill="1"/>
    <xf numFmtId="177" fontId="60" fillId="20" borderId="71" xfId="10" applyFont="1" applyFill="1" applyBorder="1"/>
    <xf numFmtId="177" fontId="60" fillId="20" borderId="72" xfId="10" applyFont="1" applyFill="1" applyBorder="1"/>
    <xf numFmtId="177" fontId="60" fillId="20" borderId="73" xfId="10" applyFont="1" applyFill="1" applyBorder="1"/>
    <xf numFmtId="177" fontId="60" fillId="2" borderId="0" xfId="10" applyFont="1" applyFill="1"/>
    <xf numFmtId="177" fontId="17" fillId="2" borderId="0" xfId="10" applyFont="1" applyFill="1"/>
    <xf numFmtId="177" fontId="15" fillId="2" borderId="0" xfId="10" applyFont="1" applyFill="1"/>
    <xf numFmtId="177" fontId="60" fillId="20" borderId="74" xfId="10" applyFont="1" applyFill="1" applyBorder="1"/>
    <xf numFmtId="14" fontId="62" fillId="20" borderId="7" xfId="11" applyNumberFormat="1" applyFont="1" applyFill="1" applyBorder="1" applyAlignment="1"/>
    <xf numFmtId="170" fontId="15" fillId="0" borderId="0" xfId="0" applyNumberFormat="1" applyFont="1"/>
    <xf numFmtId="3" fontId="0" fillId="2" borderId="0" xfId="0" applyNumberFormat="1" applyFill="1" applyAlignment="1">
      <alignment horizontal="left"/>
    </xf>
    <xf numFmtId="177" fontId="60" fillId="20" borderId="0" xfId="10" applyFont="1" applyFill="1"/>
    <xf numFmtId="177" fontId="63" fillId="20" borderId="0" xfId="10" applyFont="1" applyFill="1"/>
    <xf numFmtId="177" fontId="60" fillId="20" borderId="7" xfId="10" applyFont="1" applyFill="1" applyBorder="1"/>
    <xf numFmtId="0" fontId="0" fillId="2" borderId="0" xfId="0" applyFill="1" applyAlignment="1">
      <alignment horizontal="left"/>
    </xf>
    <xf numFmtId="177" fontId="34" fillId="20" borderId="111" xfId="10" applyFont="1" applyFill="1" applyBorder="1"/>
    <xf numFmtId="177" fontId="64" fillId="20" borderId="16" xfId="10" applyFont="1" applyFill="1" applyBorder="1"/>
    <xf numFmtId="177" fontId="55" fillId="20" borderId="16" xfId="10" applyFont="1" applyFill="1" applyBorder="1"/>
    <xf numFmtId="177" fontId="65" fillId="20" borderId="16" xfId="10" applyFont="1" applyFill="1" applyBorder="1" applyAlignment="1">
      <alignment horizontal="center"/>
    </xf>
    <xf numFmtId="177" fontId="64" fillId="20" borderId="16" xfId="10" applyFont="1" applyFill="1" applyBorder="1" applyAlignment="1">
      <alignment horizontal="center"/>
    </xf>
    <xf numFmtId="177" fontId="57" fillId="20" borderId="75" xfId="10" applyFont="1" applyFill="1" applyBorder="1" applyAlignment="1">
      <alignment horizontal="center"/>
    </xf>
    <xf numFmtId="177" fontId="34" fillId="2" borderId="0" xfId="10" applyFont="1" applyFill="1" applyAlignment="1">
      <alignment horizontal="center" wrapText="1"/>
    </xf>
    <xf numFmtId="177" fontId="17" fillId="2" borderId="0" xfId="10" applyFont="1" applyFill="1" applyAlignment="1">
      <alignment horizontal="center" wrapText="1"/>
    </xf>
    <xf numFmtId="177" fontId="15" fillId="2" borderId="74" xfId="10" applyFont="1" applyFill="1" applyBorder="1"/>
    <xf numFmtId="177" fontId="15" fillId="2" borderId="0" xfId="10" applyFont="1" applyFill="1" applyAlignment="1">
      <alignment horizontal="center"/>
    </xf>
    <xf numFmtId="177" fontId="15" fillId="2" borderId="7" xfId="10" applyFont="1" applyFill="1" applyBorder="1" applyAlignment="1">
      <alignment horizontal="center"/>
    </xf>
    <xf numFmtId="177" fontId="15" fillId="0" borderId="0" xfId="10" applyFont="1" applyAlignment="1">
      <alignment horizontal="center"/>
    </xf>
    <xf numFmtId="177" fontId="17" fillId="2" borderId="0" xfId="10" applyFont="1" applyFill="1" applyAlignment="1">
      <alignment horizontal="center"/>
    </xf>
    <xf numFmtId="177" fontId="66" fillId="2" borderId="74" xfId="10" applyFont="1" applyFill="1" applyBorder="1" applyAlignment="1">
      <alignment vertical="center"/>
    </xf>
    <xf numFmtId="177" fontId="36" fillId="2" borderId="0" xfId="10" applyFont="1" applyFill="1" applyAlignment="1">
      <alignment vertical="center"/>
    </xf>
    <xf numFmtId="177" fontId="68" fillId="2" borderId="0" xfId="10" applyFont="1" applyFill="1" applyAlignment="1">
      <alignment vertical="center"/>
    </xf>
    <xf numFmtId="0" fontId="7" fillId="2" borderId="0" xfId="0" applyFont="1" applyFill="1"/>
    <xf numFmtId="0" fontId="7" fillId="2" borderId="7" xfId="0" applyFont="1" applyFill="1" applyBorder="1"/>
    <xf numFmtId="178" fontId="15" fillId="2" borderId="98" xfId="10" applyNumberFormat="1" applyFont="1" applyFill="1" applyBorder="1" applyAlignment="1">
      <alignment horizontal="center" vertical="center"/>
    </xf>
    <xf numFmtId="176" fontId="15" fillId="0" borderId="0" xfId="12" applyNumberFormat="1" applyFont="1" applyFill="1" applyBorder="1" applyAlignment="1">
      <alignment horizontal="center"/>
    </xf>
    <xf numFmtId="176" fontId="18" fillId="2" borderId="0" xfId="12" applyNumberFormat="1" applyFont="1" applyFill="1" applyBorder="1" applyAlignment="1">
      <alignment horizontal="center"/>
    </xf>
    <xf numFmtId="14" fontId="21" fillId="2" borderId="71" xfId="11" applyNumberFormat="1" applyFont="1" applyFill="1" applyBorder="1" applyAlignment="1"/>
    <xf numFmtId="0" fontId="15" fillId="0" borderId="72" xfId="0" applyFont="1" applyBorder="1"/>
    <xf numFmtId="0" fontId="0" fillId="0" borderId="72" xfId="0" applyBorder="1"/>
    <xf numFmtId="0" fontId="0" fillId="0" borderId="73" xfId="0" applyBorder="1"/>
    <xf numFmtId="14" fontId="15" fillId="2" borderId="74" xfId="11" applyNumberFormat="1" applyFont="1" applyFill="1" applyBorder="1" applyAlignment="1"/>
    <xf numFmtId="178" fontId="15" fillId="2" borderId="7" xfId="10" applyNumberFormat="1" applyFont="1" applyFill="1" applyBorder="1" applyAlignment="1">
      <alignment horizontal="center" vertical="center"/>
    </xf>
    <xf numFmtId="178" fontId="35" fillId="2" borderId="97" xfId="10" applyNumberFormat="1" applyFont="1" applyFill="1" applyBorder="1" applyAlignment="1">
      <alignment horizontal="center" vertical="center"/>
    </xf>
    <xf numFmtId="9" fontId="15" fillId="2" borderId="74" xfId="3" applyFont="1" applyFill="1" applyBorder="1" applyAlignment="1"/>
    <xf numFmtId="14" fontId="36" fillId="2" borderId="0" xfId="11" applyNumberFormat="1" applyFont="1" applyFill="1" applyAlignment="1"/>
    <xf numFmtId="14" fontId="15" fillId="2" borderId="0" xfId="11" applyNumberFormat="1" applyFont="1" applyFill="1" applyAlignment="1">
      <alignment wrapText="1"/>
    </xf>
    <xf numFmtId="14" fontId="15" fillId="2" borderId="0" xfId="11" applyNumberFormat="1" applyFont="1" applyFill="1" applyAlignment="1"/>
    <xf numFmtId="179" fontId="15" fillId="2" borderId="0" xfId="10" applyNumberFormat="1" applyFont="1" applyFill="1" applyAlignment="1">
      <alignment horizontal="center"/>
    </xf>
    <xf numFmtId="179" fontId="15" fillId="2" borderId="75" xfId="10" applyNumberFormat="1" applyFont="1" applyFill="1" applyBorder="1" applyAlignment="1">
      <alignment horizontal="center"/>
    </xf>
    <xf numFmtId="14" fontId="21" fillId="2" borderId="0" xfId="11" applyNumberFormat="1" applyFont="1" applyFill="1" applyAlignment="1"/>
    <xf numFmtId="14" fontId="35" fillId="2" borderId="97" xfId="11" applyNumberFormat="1" applyFont="1" applyFill="1" applyBorder="1" applyAlignment="1"/>
    <xf numFmtId="178" fontId="15" fillId="0" borderId="0" xfId="10" applyNumberFormat="1" applyFont="1" applyAlignment="1">
      <alignment horizontal="center"/>
    </xf>
    <xf numFmtId="176" fontId="15" fillId="2" borderId="0" xfId="12" applyNumberFormat="1" applyFont="1" applyFill="1" applyBorder="1" applyAlignment="1">
      <alignment horizontal="center"/>
    </xf>
    <xf numFmtId="14" fontId="15" fillId="21" borderId="74" xfId="11" applyNumberFormat="1" applyFont="1" applyFill="1" applyBorder="1" applyAlignment="1"/>
    <xf numFmtId="14" fontId="18" fillId="2" borderId="74" xfId="11" applyNumberFormat="1" applyFont="1" applyFill="1" applyBorder="1" applyAlignment="1"/>
    <xf numFmtId="14" fontId="17" fillId="2" borderId="0" xfId="11" applyNumberFormat="1" applyFont="1" applyFill="1" applyAlignment="1"/>
    <xf numFmtId="14" fontId="37" fillId="2" borderId="0" xfId="11" applyNumberFormat="1" applyFont="1" applyFill="1" applyAlignment="1"/>
    <xf numFmtId="176" fontId="18" fillId="0" borderId="0" xfId="12" applyNumberFormat="1" applyFont="1" applyFill="1" applyBorder="1" applyAlignment="1">
      <alignment horizontal="center"/>
    </xf>
    <xf numFmtId="14" fontId="15" fillId="21" borderId="74" xfId="11" applyNumberFormat="1" applyFont="1" applyFill="1" applyBorder="1" applyAlignment="1">
      <alignment horizontal="left" wrapText="1"/>
    </xf>
    <xf numFmtId="0" fontId="18" fillId="0" borderId="7" xfId="0" applyFont="1" applyBorder="1"/>
    <xf numFmtId="14" fontId="15" fillId="21" borderId="74" xfId="11" applyNumberFormat="1" applyFont="1" applyFill="1" applyBorder="1" applyAlignment="1">
      <alignment wrapText="1"/>
    </xf>
    <xf numFmtId="0" fontId="37" fillId="2" borderId="0" xfId="0" applyFont="1" applyFill="1" applyAlignment="1">
      <alignment wrapText="1"/>
    </xf>
    <xf numFmtId="179" fontId="37" fillId="2" borderId="0" xfId="10" applyNumberFormat="1" applyFont="1" applyFill="1" applyAlignment="1">
      <alignment horizontal="center"/>
    </xf>
    <xf numFmtId="176" fontId="18" fillId="2" borderId="0" xfId="12" applyNumberFormat="1" applyFont="1" applyFill="1" applyBorder="1" applyAlignment="1">
      <alignment horizontal="center" wrapText="1"/>
    </xf>
    <xf numFmtId="9" fontId="15" fillId="2" borderId="77" xfId="3" applyFont="1" applyFill="1" applyBorder="1" applyAlignment="1"/>
    <xf numFmtId="169" fontId="15" fillId="0" borderId="8" xfId="0" applyNumberFormat="1" applyFont="1" applyBorder="1"/>
    <xf numFmtId="178" fontId="15" fillId="0" borderId="0" xfId="3" applyNumberFormat="1" applyFont="1" applyFill="1" applyBorder="1" applyAlignment="1">
      <alignment horizontal="center"/>
    </xf>
    <xf numFmtId="14" fontId="35" fillId="2" borderId="0" xfId="11" applyNumberFormat="1" applyFont="1" applyFill="1" applyAlignment="1"/>
    <xf numFmtId="179" fontId="35" fillId="2" borderId="0" xfId="10" applyNumberFormat="1" applyFont="1" applyFill="1" applyAlignment="1">
      <alignment horizontal="center"/>
    </xf>
    <xf numFmtId="179" fontId="15" fillId="2" borderId="7" xfId="10" applyNumberFormat="1" applyFont="1" applyFill="1" applyBorder="1" applyAlignment="1">
      <alignment horizontal="center"/>
    </xf>
    <xf numFmtId="0" fontId="37" fillId="2" borderId="0" xfId="0" applyFont="1" applyFill="1"/>
    <xf numFmtId="14" fontId="35" fillId="2" borderId="74" xfId="11" applyNumberFormat="1" applyFont="1" applyFill="1" applyBorder="1" applyAlignment="1"/>
    <xf numFmtId="14" fontId="73" fillId="2" borderId="0" xfId="11" applyNumberFormat="1" applyFont="1" applyFill="1" applyAlignment="1"/>
    <xf numFmtId="178" fontId="36" fillId="2" borderId="0" xfId="10" applyNumberFormat="1" applyFont="1" applyFill="1" applyAlignment="1">
      <alignment horizontal="center"/>
    </xf>
    <xf numFmtId="178" fontId="36" fillId="2" borderId="7" xfId="10" applyNumberFormat="1" applyFont="1" applyFill="1" applyBorder="1" applyAlignment="1">
      <alignment horizontal="center"/>
    </xf>
    <xf numFmtId="170" fontId="37" fillId="0" borderId="0" xfId="12" applyNumberFormat="1" applyFont="1" applyFill="1" applyBorder="1" applyAlignment="1">
      <alignment horizontal="center"/>
    </xf>
    <xf numFmtId="176" fontId="37" fillId="0" borderId="0" xfId="12" applyNumberFormat="1" applyFont="1" applyFill="1" applyBorder="1" applyAlignment="1">
      <alignment horizontal="center"/>
    </xf>
    <xf numFmtId="176" fontId="37" fillId="2" borderId="0" xfId="12" applyNumberFormat="1" applyFont="1" applyFill="1" applyBorder="1" applyAlignment="1">
      <alignment horizontal="center"/>
    </xf>
    <xf numFmtId="0" fontId="73" fillId="2" borderId="2" xfId="13" applyFont="1" applyFill="1" applyBorder="1" applyAlignment="1">
      <alignment vertical="center" wrapText="1"/>
    </xf>
    <xf numFmtId="0" fontId="35" fillId="0" borderId="0" xfId="0" applyFont="1"/>
    <xf numFmtId="0" fontId="6" fillId="0" borderId="0" xfId="0" applyFont="1"/>
    <xf numFmtId="177" fontId="66" fillId="2" borderId="111" xfId="10" applyFont="1" applyFill="1" applyBorder="1" applyAlignment="1">
      <alignment vertical="center"/>
    </xf>
    <xf numFmtId="14" fontId="15" fillId="2" borderId="16" xfId="11" applyNumberFormat="1" applyFont="1" applyFill="1" applyBorder="1" applyAlignment="1"/>
    <xf numFmtId="180" fontId="74" fillId="2" borderId="16" xfId="14" applyNumberFormat="1" applyFont="1" applyFill="1" applyBorder="1" applyAlignment="1">
      <alignment horizontal="center" vertical="center"/>
    </xf>
    <xf numFmtId="176" fontId="15" fillId="2" borderId="16" xfId="12" applyNumberFormat="1" applyFont="1" applyFill="1" applyBorder="1" applyAlignment="1">
      <alignment horizontal="center"/>
    </xf>
    <xf numFmtId="176" fontId="15" fillId="2" borderId="75" xfId="12" applyNumberFormat="1" applyFont="1" applyFill="1" applyBorder="1" applyAlignment="1">
      <alignment horizontal="center"/>
    </xf>
    <xf numFmtId="14" fontId="16" fillId="2" borderId="7" xfId="11" applyNumberFormat="1" applyFont="1" applyFill="1" applyBorder="1" applyAlignment="1">
      <alignment horizontal="left" wrapText="1"/>
    </xf>
    <xf numFmtId="14" fontId="76" fillId="2" borderId="0" xfId="11" applyNumberFormat="1" applyFont="1" applyFill="1" applyAlignment="1"/>
    <xf numFmtId="14" fontId="77" fillId="2" borderId="0" xfId="11" applyNumberFormat="1" applyFont="1" applyFill="1" applyAlignment="1"/>
    <xf numFmtId="14" fontId="15" fillId="2" borderId="7" xfId="11" applyNumberFormat="1" applyFont="1" applyFill="1" applyBorder="1" applyAlignment="1"/>
    <xf numFmtId="14" fontId="15" fillId="2" borderId="77" xfId="11" applyNumberFormat="1" applyFont="1" applyFill="1" applyBorder="1" applyAlignment="1"/>
    <xf numFmtId="14" fontId="15" fillId="2" borderId="8" xfId="11" applyNumberFormat="1" applyFont="1" applyFill="1" applyBorder="1" applyAlignment="1"/>
    <xf numFmtId="14" fontId="77" fillId="2" borderId="8" xfId="11" applyNumberFormat="1" applyFont="1" applyFill="1" applyBorder="1" applyAlignment="1"/>
    <xf numFmtId="14" fontId="15" fillId="2" borderId="78" xfId="11" applyNumberFormat="1" applyFont="1" applyFill="1" applyBorder="1" applyAlignment="1"/>
    <xf numFmtId="178" fontId="0" fillId="0" borderId="0" xfId="0" applyNumberFormat="1"/>
    <xf numFmtId="181" fontId="0" fillId="0" borderId="0" xfId="0" applyNumberFormat="1"/>
    <xf numFmtId="177" fontId="61" fillId="20" borderId="0" xfId="10" applyFont="1" applyFill="1" applyAlignment="1">
      <alignment vertical="top"/>
    </xf>
    <xf numFmtId="177" fontId="55" fillId="20" borderId="16" xfId="10" quotePrefix="1" applyFont="1" applyFill="1" applyBorder="1"/>
    <xf numFmtId="177" fontId="34" fillId="20" borderId="16" xfId="10" applyFont="1" applyFill="1" applyBorder="1"/>
    <xf numFmtId="178" fontId="36" fillId="2" borderId="0" xfId="10" applyNumberFormat="1" applyFont="1" applyFill="1" applyAlignment="1">
      <alignment horizontal="center" vertical="center"/>
    </xf>
    <xf numFmtId="0" fontId="0" fillId="0" borderId="0" xfId="0" applyAlignment="1">
      <alignment vertical="top"/>
    </xf>
    <xf numFmtId="177" fontId="17" fillId="20" borderId="72" xfId="10" applyFont="1" applyFill="1" applyBorder="1"/>
    <xf numFmtId="177" fontId="15" fillId="20" borderId="72" xfId="10" applyFont="1" applyFill="1" applyBorder="1"/>
    <xf numFmtId="177" fontId="21" fillId="20" borderId="73" xfId="10" applyFont="1" applyFill="1" applyBorder="1"/>
    <xf numFmtId="14" fontId="80" fillId="20" borderId="0" xfId="11" applyNumberFormat="1" applyFont="1" applyFill="1" applyAlignment="1"/>
    <xf numFmtId="14" fontId="81" fillId="20" borderId="0" xfId="11" applyNumberFormat="1" applyFont="1" applyFill="1" applyAlignment="1"/>
    <xf numFmtId="177" fontId="64" fillId="20" borderId="7" xfId="10" applyFont="1" applyFill="1" applyBorder="1" applyAlignment="1">
      <alignment horizontal="center" wrapText="1"/>
    </xf>
    <xf numFmtId="177" fontId="78" fillId="20" borderId="0" xfId="10" applyFont="1" applyFill="1"/>
    <xf numFmtId="177" fontId="82" fillId="20" borderId="0" xfId="10" applyFont="1" applyFill="1"/>
    <xf numFmtId="177" fontId="83" fillId="20" borderId="7" xfId="10" applyFont="1" applyFill="1" applyBorder="1"/>
    <xf numFmtId="177" fontId="60" fillId="20" borderId="74" xfId="10" applyFont="1" applyFill="1" applyBorder="1" applyAlignment="1">
      <alignment vertical="top"/>
    </xf>
    <xf numFmtId="177" fontId="60" fillId="20" borderId="0" xfId="10" applyFont="1" applyFill="1" applyAlignment="1">
      <alignment vertical="top"/>
    </xf>
    <xf numFmtId="177" fontId="84" fillId="20" borderId="0" xfId="10" applyFont="1" applyFill="1" applyAlignment="1">
      <alignment vertical="top"/>
    </xf>
    <xf numFmtId="177" fontId="81" fillId="20" borderId="0" xfId="10" applyFont="1" applyFill="1" applyAlignment="1">
      <alignment vertical="top"/>
    </xf>
    <xf numFmtId="177" fontId="78" fillId="20" borderId="0" xfId="10" applyFont="1" applyFill="1" applyAlignment="1">
      <alignment vertical="top"/>
    </xf>
    <xf numFmtId="177" fontId="82" fillId="20" borderId="0" xfId="10" applyFont="1" applyFill="1" applyAlignment="1">
      <alignment vertical="top"/>
    </xf>
    <xf numFmtId="177" fontId="83" fillId="20" borderId="7" xfId="10" applyFont="1" applyFill="1" applyBorder="1" applyAlignment="1">
      <alignment vertical="top"/>
    </xf>
    <xf numFmtId="177" fontId="64" fillId="20" borderId="75" xfId="10" applyFont="1" applyFill="1" applyBorder="1" applyAlignment="1">
      <alignment horizontal="center" wrapText="1"/>
    </xf>
    <xf numFmtId="177" fontId="78" fillId="20" borderId="16" xfId="10" applyFont="1" applyFill="1" applyBorder="1" applyAlignment="1">
      <alignment horizontal="center" wrapText="1"/>
    </xf>
    <xf numFmtId="177" fontId="83" fillId="20" borderId="16" xfId="10" applyFont="1" applyFill="1" applyBorder="1" applyAlignment="1">
      <alignment horizontal="center" wrapText="1"/>
    </xf>
    <xf numFmtId="177" fontId="83" fillId="20" borderId="75" xfId="10" applyFont="1" applyFill="1" applyBorder="1" applyAlignment="1">
      <alignment horizontal="center" wrapText="1"/>
    </xf>
    <xf numFmtId="0" fontId="0" fillId="2" borderId="0" xfId="0" applyFill="1" applyAlignment="1">
      <alignment vertical="top"/>
    </xf>
    <xf numFmtId="0" fontId="7" fillId="2" borderId="74" xfId="0" applyFont="1" applyFill="1" applyBorder="1"/>
    <xf numFmtId="0" fontId="6" fillId="2" borderId="0" xfId="0" applyFont="1" applyFill="1"/>
    <xf numFmtId="0" fontId="6" fillId="2" borderId="7" xfId="0" applyFont="1" applyFill="1" applyBorder="1"/>
    <xf numFmtId="0" fontId="15" fillId="2" borderId="7" xfId="0" applyFont="1" applyFill="1" applyBorder="1"/>
    <xf numFmtId="0" fontId="7" fillId="2" borderId="74" xfId="0" applyFont="1" applyFill="1" applyBorder="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7" xfId="0" applyFont="1" applyFill="1" applyBorder="1" applyAlignment="1">
      <alignment vertical="center"/>
    </xf>
    <xf numFmtId="0" fontId="18" fillId="2" borderId="0" xfId="0" applyFont="1" applyFill="1" applyAlignment="1">
      <alignment vertical="center"/>
    </xf>
    <xf numFmtId="0" fontId="15" fillId="2" borderId="0" xfId="0" applyFont="1" applyFill="1" applyAlignment="1">
      <alignment vertical="center"/>
    </xf>
    <xf numFmtId="0" fontId="15" fillId="2" borderId="7" xfId="0" applyFont="1" applyFill="1" applyBorder="1" applyAlignment="1">
      <alignment vertical="center"/>
    </xf>
    <xf numFmtId="0" fontId="7" fillId="2" borderId="0" xfId="0" applyFont="1" applyFill="1" applyAlignment="1">
      <alignment vertical="center"/>
    </xf>
    <xf numFmtId="0" fontId="6" fillId="2" borderId="85" xfId="0" applyFont="1" applyFill="1" applyBorder="1" applyAlignment="1">
      <alignment vertical="center"/>
    </xf>
    <xf numFmtId="0" fontId="6" fillId="2" borderId="97" xfId="0" applyFont="1" applyFill="1" applyBorder="1" applyAlignment="1">
      <alignment vertical="center"/>
    </xf>
    <xf numFmtId="178" fontId="37" fillId="2" borderId="97" xfId="0" applyNumberFormat="1" applyFont="1" applyFill="1" applyBorder="1" applyAlignment="1">
      <alignment horizontal="center" vertical="center"/>
    </xf>
    <xf numFmtId="178" fontId="6" fillId="2" borderId="97" xfId="0" applyNumberFormat="1" applyFont="1" applyFill="1" applyBorder="1" applyAlignment="1">
      <alignment horizontal="center" vertical="center"/>
    </xf>
    <xf numFmtId="0" fontId="18" fillId="2" borderId="97" xfId="0" applyFont="1" applyFill="1" applyBorder="1" applyAlignment="1">
      <alignment horizontal="left" vertical="center" wrapText="1"/>
    </xf>
    <xf numFmtId="0" fontId="18" fillId="2" borderId="98" xfId="0" applyFont="1" applyFill="1" applyBorder="1" applyAlignment="1">
      <alignment horizontal="left" vertical="center" wrapText="1"/>
    </xf>
    <xf numFmtId="0" fontId="15" fillId="0" borderId="0" xfId="0" applyFont="1" applyAlignment="1">
      <alignment vertical="center"/>
    </xf>
    <xf numFmtId="0" fontId="0" fillId="2" borderId="0" xfId="0" applyFill="1" applyAlignment="1">
      <alignment vertical="center"/>
    </xf>
    <xf numFmtId="178" fontId="0" fillId="2" borderId="0" xfId="0" applyNumberFormat="1" applyFill="1" applyAlignment="1">
      <alignment vertical="center"/>
    </xf>
    <xf numFmtId="0" fontId="15" fillId="2" borderId="0" xfId="0" applyFont="1" applyFill="1" applyAlignment="1">
      <alignment horizontal="left" vertical="center" wrapText="1"/>
    </xf>
    <xf numFmtId="0" fontId="86" fillId="0" borderId="0" xfId="0" applyFont="1" applyAlignment="1">
      <alignment vertical="center"/>
    </xf>
    <xf numFmtId="178" fontId="15" fillId="2" borderId="0" xfId="0" applyNumberFormat="1" applyFont="1" applyFill="1" applyAlignment="1">
      <alignment horizontal="left" vertical="center" wrapText="1"/>
    </xf>
    <xf numFmtId="178" fontId="0" fillId="2" borderId="0" xfId="0" applyNumberFormat="1" applyFill="1" applyAlignment="1">
      <alignment horizontal="left" vertical="center" wrapText="1"/>
    </xf>
    <xf numFmtId="0" fontId="38" fillId="2" borderId="0" xfId="0" applyFont="1" applyFill="1" applyAlignment="1">
      <alignment vertical="center"/>
    </xf>
    <xf numFmtId="178" fontId="38" fillId="2" borderId="0" xfId="0" applyNumberFormat="1" applyFont="1" applyFill="1" applyAlignment="1">
      <alignment horizontal="center" vertical="center"/>
    </xf>
    <xf numFmtId="0" fontId="18" fillId="2" borderId="0" xfId="0" applyFont="1" applyFill="1" applyAlignment="1">
      <alignment horizontal="left" vertical="center"/>
    </xf>
    <xf numFmtId="0" fontId="15" fillId="2" borderId="0" xfId="0" applyFont="1" applyFill="1" applyAlignment="1">
      <alignment horizontal="left" vertical="center"/>
    </xf>
    <xf numFmtId="0" fontId="15" fillId="2" borderId="7" xfId="0" applyFont="1" applyFill="1" applyBorder="1" applyAlignment="1">
      <alignment horizontal="left" vertical="center"/>
    </xf>
    <xf numFmtId="0" fontId="18" fillId="2" borderId="97" xfId="0" applyFont="1" applyFill="1" applyBorder="1" applyAlignment="1">
      <alignment horizontal="left" vertical="center"/>
    </xf>
    <xf numFmtId="0" fontId="15" fillId="2" borderId="97" xfId="0" applyFont="1" applyFill="1" applyBorder="1" applyAlignment="1">
      <alignment horizontal="left" vertical="center"/>
    </xf>
    <xf numFmtId="0" fontId="15" fillId="2" borderId="98" xfId="0" applyFont="1" applyFill="1" applyBorder="1" applyAlignment="1">
      <alignment horizontal="left" vertical="center"/>
    </xf>
    <xf numFmtId="178" fontId="6" fillId="2" borderId="0" xfId="0" applyNumberFormat="1" applyFont="1" applyFill="1" applyAlignment="1">
      <alignment horizontal="center" vertical="center"/>
    </xf>
    <xf numFmtId="0" fontId="7" fillId="2" borderId="77" xfId="0" applyFont="1" applyFill="1" applyBorder="1"/>
    <xf numFmtId="0" fontId="7" fillId="2" borderId="8" xfId="0" applyFont="1" applyFill="1" applyBorder="1"/>
    <xf numFmtId="0" fontId="6" fillId="2" borderId="8" xfId="0" applyFont="1" applyFill="1" applyBorder="1" applyAlignment="1">
      <alignment vertical="center"/>
    </xf>
    <xf numFmtId="0" fontId="6" fillId="2" borderId="8" xfId="0" applyFont="1" applyFill="1" applyBorder="1"/>
    <xf numFmtId="178" fontId="6" fillId="2" borderId="8" xfId="0" applyNumberFormat="1" applyFont="1" applyFill="1" applyBorder="1" applyAlignment="1">
      <alignment horizontal="center"/>
    </xf>
    <xf numFmtId="0" fontId="18" fillId="2" borderId="8" xfId="0" applyFont="1" applyFill="1" applyBorder="1"/>
    <xf numFmtId="0" fontId="15" fillId="2" borderId="8" xfId="0" applyFont="1" applyFill="1" applyBorder="1"/>
    <xf numFmtId="0" fontId="15" fillId="2" borderId="78" xfId="0" applyFont="1" applyFill="1" applyBorder="1"/>
    <xf numFmtId="178" fontId="6" fillId="2" borderId="0" xfId="0" applyNumberFormat="1" applyFont="1" applyFill="1" applyAlignment="1">
      <alignment horizontal="center"/>
    </xf>
    <xf numFmtId="0" fontId="88" fillId="2" borderId="0" xfId="0" applyFont="1" applyFill="1" applyAlignment="1">
      <alignment vertical="center"/>
    </xf>
    <xf numFmtId="170" fontId="6" fillId="2" borderId="0" xfId="0" applyNumberFormat="1" applyFont="1" applyFill="1" applyAlignment="1">
      <alignment horizontal="center" vertical="center"/>
    </xf>
    <xf numFmtId="170" fontId="6" fillId="2" borderId="7" xfId="0" applyNumberFormat="1" applyFont="1" applyFill="1" applyBorder="1" applyAlignment="1">
      <alignment horizontal="center" vertical="center"/>
    </xf>
    <xf numFmtId="0" fontId="7" fillId="2" borderId="8" xfId="0" applyFont="1" applyFill="1" applyBorder="1" applyAlignment="1">
      <alignment vertical="center"/>
    </xf>
    <xf numFmtId="178" fontId="7" fillId="2" borderId="8" xfId="0" applyNumberFormat="1" applyFont="1" applyFill="1" applyBorder="1" applyAlignment="1">
      <alignment horizontal="center"/>
    </xf>
    <xf numFmtId="170" fontId="7" fillId="2" borderId="8" xfId="0" applyNumberFormat="1" applyFont="1" applyFill="1" applyBorder="1" applyAlignment="1">
      <alignment horizontal="center" vertical="center"/>
    </xf>
    <xf numFmtId="170" fontId="7" fillId="2" borderId="78" xfId="0" applyNumberFormat="1" applyFont="1" applyFill="1" applyBorder="1" applyAlignment="1">
      <alignment horizontal="center" vertical="center"/>
    </xf>
    <xf numFmtId="177" fontId="17" fillId="20" borderId="0" xfId="10" applyFont="1" applyFill="1"/>
    <xf numFmtId="177" fontId="15" fillId="20" borderId="0" xfId="10" applyFont="1" applyFill="1"/>
    <xf numFmtId="177" fontId="21" fillId="20" borderId="7" xfId="10" applyFont="1" applyFill="1" applyBorder="1"/>
    <xf numFmtId="177" fontId="78" fillId="20" borderId="0" xfId="10" applyFont="1" applyFill="1" applyAlignment="1">
      <alignment horizontal="center" wrapText="1"/>
    </xf>
    <xf numFmtId="177" fontId="83" fillId="20" borderId="0" xfId="10" applyFont="1" applyFill="1" applyAlignment="1">
      <alignment horizontal="center" wrapText="1"/>
    </xf>
    <xf numFmtId="177" fontId="83" fillId="20" borderId="7" xfId="10" applyFont="1" applyFill="1" applyBorder="1" applyAlignment="1">
      <alignment horizontal="center" wrapText="1"/>
    </xf>
    <xf numFmtId="170" fontId="0" fillId="2" borderId="0" xfId="0" applyNumberFormat="1" applyFill="1" applyAlignment="1">
      <alignment vertical="center"/>
    </xf>
    <xf numFmtId="170" fontId="37" fillId="2" borderId="97" xfId="0" applyNumberFormat="1" applyFont="1" applyFill="1" applyBorder="1" applyAlignment="1">
      <alignment horizontal="center" vertical="center"/>
    </xf>
    <xf numFmtId="178" fontId="6" fillId="2" borderId="85" xfId="0" applyNumberFormat="1" applyFont="1" applyFill="1" applyBorder="1" applyAlignment="1">
      <alignment horizontal="center" vertical="center"/>
    </xf>
    <xf numFmtId="0" fontId="89" fillId="2" borderId="0" xfId="0" applyFont="1" applyFill="1" applyAlignment="1">
      <alignment horizontal="left" vertical="center" wrapText="1"/>
    </xf>
    <xf numFmtId="178" fontId="0" fillId="2" borderId="0" xfId="0" applyNumberFormat="1" applyFill="1" applyAlignment="1">
      <alignment vertical="center" wrapText="1"/>
    </xf>
    <xf numFmtId="182" fontId="0" fillId="2" borderId="0" xfId="0" applyNumberFormat="1" applyFill="1" applyAlignment="1">
      <alignment vertical="center"/>
    </xf>
    <xf numFmtId="170" fontId="6" fillId="2" borderId="97" xfId="0" applyNumberFormat="1" applyFont="1" applyFill="1" applyBorder="1" applyAlignment="1">
      <alignment horizontal="center" vertical="center"/>
    </xf>
    <xf numFmtId="0" fontId="86" fillId="2" borderId="0" xfId="0" applyFont="1" applyFill="1" applyAlignment="1">
      <alignment vertical="center"/>
    </xf>
    <xf numFmtId="178" fontId="36" fillId="2" borderId="0" xfId="0" applyNumberFormat="1" applyFont="1" applyFill="1" applyAlignment="1">
      <alignment horizontal="center" vertical="center"/>
    </xf>
    <xf numFmtId="0" fontId="35" fillId="14" borderId="85" xfId="0" applyFont="1" applyFill="1" applyBorder="1" applyAlignment="1">
      <alignment vertical="center"/>
    </xf>
    <xf numFmtId="0" fontId="18" fillId="2" borderId="74" xfId="0" applyFont="1" applyFill="1" applyBorder="1" applyAlignment="1">
      <alignment vertical="center"/>
    </xf>
    <xf numFmtId="0" fontId="18" fillId="2" borderId="7" xfId="0" applyFont="1" applyFill="1" applyBorder="1" applyAlignment="1">
      <alignment horizontal="left" vertical="center"/>
    </xf>
    <xf numFmtId="0" fontId="18" fillId="0" borderId="0" xfId="0" applyFont="1" applyAlignment="1">
      <alignment vertical="center"/>
    </xf>
    <xf numFmtId="170" fontId="37" fillId="2" borderId="16" xfId="0" applyNumberFormat="1" applyFont="1" applyFill="1" applyBorder="1" applyAlignment="1">
      <alignment horizontal="center" vertical="center"/>
    </xf>
    <xf numFmtId="0" fontId="18" fillId="2" borderId="0" xfId="0" applyFont="1" applyFill="1" applyAlignment="1">
      <alignment horizontal="center" vertical="center"/>
    </xf>
    <xf numFmtId="0" fontId="15" fillId="2" borderId="0" xfId="0" applyFont="1" applyFill="1" applyAlignment="1">
      <alignment horizontal="center" vertical="center"/>
    </xf>
    <xf numFmtId="178" fontId="87" fillId="2" borderId="97" xfId="0" applyNumberFormat="1" applyFont="1" applyFill="1" applyBorder="1" applyAlignment="1">
      <alignment horizontal="center" vertical="center"/>
    </xf>
    <xf numFmtId="178" fontId="87" fillId="2" borderId="100" xfId="0" applyNumberFormat="1" applyFont="1" applyFill="1" applyBorder="1" applyAlignment="1">
      <alignment horizontal="center" vertical="center"/>
    </xf>
    <xf numFmtId="0" fontId="7" fillId="2" borderId="8" xfId="0" applyFont="1" applyFill="1" applyBorder="1" applyAlignment="1">
      <alignment horizontal="left" wrapText="1"/>
    </xf>
    <xf numFmtId="0" fontId="18" fillId="2" borderId="8" xfId="0" applyFont="1" applyFill="1" applyBorder="1" applyAlignment="1">
      <alignment horizontal="left" wrapText="1"/>
    </xf>
    <xf numFmtId="0" fontId="15" fillId="2" borderId="8" xfId="0" applyFont="1" applyFill="1" applyBorder="1" applyAlignment="1">
      <alignment horizontal="left" wrapText="1"/>
    </xf>
    <xf numFmtId="0" fontId="15" fillId="2" borderId="78" xfId="0" applyFont="1" applyFill="1" applyBorder="1" applyAlignment="1">
      <alignment horizontal="left" wrapText="1"/>
    </xf>
    <xf numFmtId="0" fontId="88" fillId="0" borderId="0" xfId="0" applyFont="1" applyAlignment="1">
      <alignment vertical="center"/>
    </xf>
    <xf numFmtId="174" fontId="0" fillId="0" borderId="0" xfId="3" applyNumberFormat="1" applyFont="1" applyFill="1"/>
    <xf numFmtId="0" fontId="6" fillId="2" borderId="0" xfId="0" applyFont="1" applyFill="1" applyAlignment="1">
      <alignment horizontal="center" vertical="center"/>
    </xf>
    <xf numFmtId="178" fontId="35" fillId="2" borderId="0" xfId="0" applyNumberFormat="1" applyFont="1" applyFill="1" applyAlignment="1">
      <alignment horizontal="center" vertical="center"/>
    </xf>
    <xf numFmtId="0" fontId="18" fillId="2" borderId="0" xfId="0" applyFont="1" applyFill="1" applyAlignment="1">
      <alignment horizontal="left" vertical="center" wrapText="1"/>
    </xf>
    <xf numFmtId="0" fontId="18" fillId="2" borderId="7" xfId="0" applyFont="1" applyFill="1" applyBorder="1" applyAlignment="1">
      <alignment horizontal="left" vertical="center" wrapText="1"/>
    </xf>
    <xf numFmtId="0" fontId="38" fillId="2" borderId="16" xfId="0" applyFont="1" applyFill="1" applyBorder="1" applyAlignment="1">
      <alignment vertical="center"/>
    </xf>
    <xf numFmtId="178" fontId="79" fillId="2" borderId="16" xfId="0" applyNumberFormat="1" applyFont="1" applyFill="1" applyBorder="1" applyAlignment="1">
      <alignment horizontal="center" vertical="center"/>
    </xf>
    <xf numFmtId="175" fontId="0" fillId="2" borderId="0" xfId="3" applyNumberFormat="1" applyFont="1" applyFill="1" applyAlignment="1">
      <alignment vertical="center"/>
    </xf>
    <xf numFmtId="178" fontId="6" fillId="2" borderId="100" xfId="0" applyNumberFormat="1" applyFont="1" applyFill="1" applyBorder="1" applyAlignment="1">
      <alignment horizontal="center" vertical="center"/>
    </xf>
    <xf numFmtId="0" fontId="6" fillId="2" borderId="16" xfId="0" applyFont="1" applyFill="1" applyBorder="1" applyAlignment="1">
      <alignment vertical="center"/>
    </xf>
    <xf numFmtId="178" fontId="36" fillId="2" borderId="97" xfId="10" applyNumberFormat="1" applyFont="1" applyFill="1" applyBorder="1" applyAlignment="1">
      <alignment horizontal="center" vertical="center"/>
    </xf>
    <xf numFmtId="177" fontId="36" fillId="2" borderId="0" xfId="10" applyFont="1" applyFill="1" applyAlignment="1">
      <alignment vertical="center" wrapText="1"/>
    </xf>
    <xf numFmtId="177" fontId="70" fillId="2" borderId="0" xfId="10" applyFont="1" applyFill="1" applyAlignment="1">
      <alignment vertical="center"/>
    </xf>
    <xf numFmtId="177" fontId="21" fillId="2" borderId="0" xfId="10" applyFont="1" applyFill="1" applyAlignment="1">
      <alignment vertical="center"/>
    </xf>
    <xf numFmtId="9" fontId="15" fillId="0" borderId="0" xfId="3" applyFont="1" applyFill="1" applyBorder="1" applyAlignment="1"/>
    <xf numFmtId="177" fontId="72" fillId="0" borderId="0" xfId="10" applyFont="1" applyAlignment="1">
      <alignment horizontal="center"/>
    </xf>
    <xf numFmtId="177" fontId="72" fillId="20" borderId="0" xfId="10" applyFont="1" applyFill="1" applyAlignment="1">
      <alignment horizontal="center"/>
    </xf>
    <xf numFmtId="0" fontId="15" fillId="21" borderId="0" xfId="0" applyFont="1" applyFill="1"/>
    <xf numFmtId="0" fontId="0" fillId="4" borderId="84" xfId="0" applyFill="1" applyBorder="1"/>
    <xf numFmtId="3" fontId="0" fillId="4" borderId="11" xfId="0" applyNumberFormat="1" applyFill="1" applyBorder="1" applyAlignment="1">
      <alignment horizontal="left"/>
    </xf>
    <xf numFmtId="0" fontId="0" fillId="4" borderId="11" xfId="0" applyFill="1" applyBorder="1" applyAlignment="1">
      <alignment horizontal="left"/>
    </xf>
    <xf numFmtId="3" fontId="0" fillId="4" borderId="13" xfId="0" applyNumberFormat="1" applyFill="1" applyBorder="1" applyAlignment="1">
      <alignment horizontal="left"/>
    </xf>
    <xf numFmtId="0" fontId="0" fillId="4" borderId="2" xfId="0" applyFill="1" applyBorder="1"/>
    <xf numFmtId="0" fontId="0" fillId="4" borderId="9" xfId="0" applyFill="1" applyBorder="1"/>
    <xf numFmtId="44" fontId="0" fillId="4" borderId="9" xfId="0" applyNumberFormat="1" applyFill="1" applyBorder="1"/>
    <xf numFmtId="44" fontId="0" fillId="4" borderId="3" xfId="0" applyNumberFormat="1" applyFill="1" applyBorder="1"/>
    <xf numFmtId="0" fontId="0" fillId="4" borderId="82" xfId="0" applyFill="1" applyBorder="1"/>
    <xf numFmtId="0" fontId="0" fillId="4" borderId="16" xfId="0" applyFill="1" applyBorder="1"/>
    <xf numFmtId="44" fontId="0" fillId="4" borderId="16" xfId="0" applyNumberFormat="1" applyFill="1" applyBorder="1"/>
    <xf numFmtId="44" fontId="0" fillId="4" borderId="83" xfId="0" applyNumberFormat="1" applyFill="1" applyBorder="1"/>
    <xf numFmtId="0" fontId="0" fillId="8" borderId="2" xfId="0" applyFill="1" applyBorder="1"/>
    <xf numFmtId="0" fontId="0" fillId="8" borderId="9" xfId="0" applyFill="1" applyBorder="1"/>
    <xf numFmtId="44" fontId="0" fillId="8" borderId="9" xfId="0" applyNumberFormat="1" applyFill="1" applyBorder="1"/>
    <xf numFmtId="44" fontId="0" fillId="8" borderId="3" xfId="0" applyNumberFormat="1" applyFill="1" applyBorder="1"/>
    <xf numFmtId="0" fontId="0" fillId="8" borderId="82" xfId="0" applyFill="1" applyBorder="1"/>
    <xf numFmtId="0" fontId="0" fillId="8" borderId="16" xfId="0" applyFill="1" applyBorder="1"/>
    <xf numFmtId="44" fontId="0" fillId="8" borderId="16" xfId="0" applyNumberFormat="1" applyFill="1" applyBorder="1"/>
    <xf numFmtId="44" fontId="0" fillId="8" borderId="83" xfId="0" applyNumberFormat="1" applyFill="1" applyBorder="1"/>
    <xf numFmtId="0" fontId="0" fillId="8" borderId="84" xfId="0" applyFill="1" applyBorder="1"/>
    <xf numFmtId="3" fontId="0" fillId="8" borderId="11" xfId="0" applyNumberFormat="1" applyFill="1" applyBorder="1" applyAlignment="1">
      <alignment horizontal="left"/>
    </xf>
    <xf numFmtId="0" fontId="0" fillId="8" borderId="11" xfId="0" applyFill="1" applyBorder="1" applyAlignment="1">
      <alignment horizontal="left"/>
    </xf>
    <xf numFmtId="3" fontId="0" fillId="8" borderId="13" xfId="0" applyNumberFormat="1" applyFill="1" applyBorder="1" applyAlignment="1">
      <alignment horizontal="left"/>
    </xf>
    <xf numFmtId="178" fontId="36" fillId="2" borderId="16" xfId="0" applyNumberFormat="1" applyFont="1" applyFill="1" applyBorder="1" applyAlignment="1">
      <alignment horizontal="center" vertical="center"/>
    </xf>
    <xf numFmtId="0" fontId="38" fillId="2" borderId="82" xfId="0" applyFont="1" applyFill="1" applyBorder="1" applyAlignment="1">
      <alignment vertical="center"/>
    </xf>
    <xf numFmtId="178" fontId="38" fillId="2" borderId="83" xfId="0" applyNumberFormat="1" applyFont="1" applyFill="1" applyBorder="1" applyAlignment="1">
      <alignment horizontal="center" vertical="center"/>
    </xf>
    <xf numFmtId="178" fontId="38" fillId="2" borderId="4" xfId="0" applyNumberFormat="1" applyFont="1" applyFill="1" applyBorder="1" applyAlignment="1">
      <alignment horizontal="center" vertical="center"/>
    </xf>
    <xf numFmtId="14" fontId="35" fillId="4" borderId="85" xfId="11" applyNumberFormat="1" applyFont="1" applyFill="1" applyBorder="1" applyAlignment="1">
      <alignment vertical="center" wrapText="1"/>
    </xf>
    <xf numFmtId="14" fontId="35" fillId="4" borderId="97" xfId="11" applyNumberFormat="1" applyFont="1" applyFill="1" applyBorder="1" applyAlignment="1"/>
    <xf numFmtId="178" fontId="35" fillId="4" borderId="97" xfId="10" applyNumberFormat="1" applyFont="1" applyFill="1" applyBorder="1" applyAlignment="1">
      <alignment horizontal="center" vertical="center"/>
    </xf>
    <xf numFmtId="178" fontId="15" fillId="4" borderId="98" xfId="10" applyNumberFormat="1" applyFont="1" applyFill="1" applyBorder="1" applyAlignment="1">
      <alignment horizontal="center" vertical="center"/>
    </xf>
    <xf numFmtId="14" fontId="35" fillId="8" borderId="85" xfId="11" applyNumberFormat="1" applyFont="1" applyFill="1" applyBorder="1" applyAlignment="1">
      <alignment vertical="center" wrapText="1"/>
    </xf>
    <xf numFmtId="14" fontId="35" fillId="8" borderId="97" xfId="11" applyNumberFormat="1" applyFont="1" applyFill="1" applyBorder="1" applyAlignment="1"/>
    <xf numFmtId="178" fontId="35" fillId="8" borderId="97" xfId="10" applyNumberFormat="1" applyFont="1" applyFill="1" applyBorder="1" applyAlignment="1">
      <alignment horizontal="center" vertical="center"/>
    </xf>
    <xf numFmtId="178" fontId="15" fillId="8" borderId="98" xfId="10" applyNumberFormat="1" applyFont="1" applyFill="1" applyBorder="1" applyAlignment="1">
      <alignment horizontal="center" vertical="center"/>
    </xf>
    <xf numFmtId="0" fontId="18" fillId="2" borderId="98" xfId="0" applyFont="1" applyFill="1" applyBorder="1" applyAlignment="1">
      <alignment vertical="center" wrapText="1"/>
    </xf>
    <xf numFmtId="5" fontId="52" fillId="0" borderId="70" xfId="15" applyNumberFormat="1" applyFont="1" applyBorder="1"/>
    <xf numFmtId="0" fontId="13" fillId="15" borderId="117" xfId="0" applyFont="1" applyFill="1" applyBorder="1"/>
    <xf numFmtId="0" fontId="13" fillId="15" borderId="116" xfId="0" applyFont="1" applyFill="1" applyBorder="1" applyAlignment="1">
      <alignment horizontal="center" wrapText="1"/>
    </xf>
    <xf numFmtId="170" fontId="13" fillId="15" borderId="121" xfId="0" applyNumberFormat="1" applyFont="1" applyFill="1" applyBorder="1"/>
    <xf numFmtId="170" fontId="41" fillId="2" borderId="119" xfId="0" applyNumberFormat="1" applyFont="1" applyFill="1" applyBorder="1"/>
    <xf numFmtId="9" fontId="13" fillId="2" borderId="115" xfId="3" applyFont="1" applyFill="1" applyBorder="1"/>
    <xf numFmtId="0" fontId="41" fillId="2" borderId="123" xfId="0" applyFont="1" applyFill="1" applyBorder="1"/>
    <xf numFmtId="0" fontId="13" fillId="15" borderId="118" xfId="0" applyFont="1" applyFill="1" applyBorder="1"/>
    <xf numFmtId="170" fontId="41" fillId="15" borderId="4" xfId="0" applyNumberFormat="1" applyFont="1" applyFill="1" applyBorder="1"/>
    <xf numFmtId="170" fontId="13" fillId="15" borderId="7" xfId="0" applyNumberFormat="1" applyFont="1" applyFill="1" applyBorder="1"/>
    <xf numFmtId="170" fontId="13" fillId="15" borderId="122" xfId="0" applyNumberFormat="1" applyFont="1" applyFill="1" applyBorder="1"/>
    <xf numFmtId="0" fontId="13" fillId="15" borderId="124" xfId="0" applyFont="1" applyFill="1" applyBorder="1" applyAlignment="1">
      <alignment horizontal="center" wrapText="1"/>
    </xf>
    <xf numFmtId="3" fontId="41" fillId="0" borderId="16" xfId="0" applyNumberFormat="1" applyFont="1" applyBorder="1"/>
    <xf numFmtId="0" fontId="41" fillId="11" borderId="82" xfId="0" applyFont="1" applyFill="1" applyBorder="1" applyAlignment="1">
      <alignment horizontal="center"/>
    </xf>
    <xf numFmtId="0" fontId="41" fillId="0" borderId="0" xfId="0" applyFont="1" applyAlignment="1">
      <alignment horizontal="center"/>
    </xf>
    <xf numFmtId="0" fontId="41" fillId="0" borderId="0" xfId="0" applyFont="1" applyAlignment="1">
      <alignment horizontal="right"/>
    </xf>
    <xf numFmtId="3" fontId="13" fillId="0" borderId="0" xfId="0" applyNumberFormat="1" applyFont="1"/>
    <xf numFmtId="9" fontId="41" fillId="0" borderId="0" xfId="3" applyFont="1" applyFill="1" applyBorder="1"/>
    <xf numFmtId="169" fontId="13" fillId="0" borderId="0" xfId="0" applyNumberFormat="1" applyFont="1"/>
    <xf numFmtId="0" fontId="13" fillId="0" borderId="0" xfId="0" applyFont="1" applyAlignment="1">
      <alignment horizontal="right"/>
    </xf>
    <xf numFmtId="0" fontId="13" fillId="11" borderId="82" xfId="0" applyFont="1" applyFill="1" applyBorder="1" applyAlignment="1">
      <alignment horizontal="center"/>
    </xf>
    <xf numFmtId="0" fontId="18" fillId="2" borderId="110" xfId="0" applyFont="1" applyFill="1" applyBorder="1" applyAlignment="1">
      <alignment horizontal="left" vertical="center" wrapText="1"/>
    </xf>
    <xf numFmtId="0" fontId="0" fillId="0" borderId="4" xfId="0" applyBorder="1"/>
    <xf numFmtId="0" fontId="0" fillId="0" borderId="3" xfId="0" applyBorder="1"/>
    <xf numFmtId="0" fontId="0" fillId="0" borderId="2" xfId="0" applyBorder="1" applyAlignment="1">
      <alignment vertical="center"/>
    </xf>
    <xf numFmtId="0" fontId="0" fillId="0" borderId="9" xfId="0" applyBorder="1" applyAlignment="1">
      <alignment vertical="center"/>
    </xf>
    <xf numFmtId="0" fontId="0" fillId="0" borderId="3" xfId="0" applyBorder="1" applyAlignment="1">
      <alignment vertical="center"/>
    </xf>
    <xf numFmtId="0" fontId="0" fillId="0" borderId="81" xfId="0" applyBorder="1" applyAlignment="1">
      <alignment vertical="center"/>
    </xf>
    <xf numFmtId="164" fontId="0" fillId="0" borderId="0" xfId="2" applyNumberFormat="1" applyFont="1" applyBorder="1" applyAlignment="1">
      <alignment vertical="center"/>
    </xf>
    <xf numFmtId="164" fontId="0" fillId="0" borderId="4" xfId="2" applyNumberFormat="1" applyFont="1" applyBorder="1" applyAlignment="1">
      <alignment vertical="center"/>
    </xf>
    <xf numFmtId="0" fontId="0" fillId="0" borderId="82" xfId="0" applyBorder="1" applyAlignment="1">
      <alignment vertical="center"/>
    </xf>
    <xf numFmtId="0" fontId="0" fillId="0" borderId="16" xfId="0" applyBorder="1" applyAlignment="1">
      <alignment vertical="center"/>
    </xf>
    <xf numFmtId="0" fontId="86" fillId="0" borderId="16" xfId="0" applyFont="1" applyBorder="1" applyAlignment="1">
      <alignment vertical="center"/>
    </xf>
    <xf numFmtId="164" fontId="86" fillId="0" borderId="16" xfId="2" applyNumberFormat="1" applyFont="1" applyBorder="1" applyAlignment="1">
      <alignment vertical="center"/>
    </xf>
    <xf numFmtId="164" fontId="86" fillId="0" borderId="83" xfId="2" applyNumberFormat="1" applyFont="1" applyBorder="1" applyAlignment="1">
      <alignment vertical="center"/>
    </xf>
    <xf numFmtId="0" fontId="29" fillId="0" borderId="0" xfId="0" applyFont="1" applyAlignment="1">
      <alignment vertical="center"/>
    </xf>
    <xf numFmtId="0" fontId="29" fillId="2" borderId="0" xfId="0" applyFont="1" applyFill="1" applyAlignment="1">
      <alignment vertical="center"/>
    </xf>
    <xf numFmtId="0" fontId="29" fillId="2" borderId="74" xfId="0" applyFont="1" applyFill="1" applyBorder="1" applyAlignment="1">
      <alignment vertical="center"/>
    </xf>
    <xf numFmtId="0" fontId="29" fillId="0" borderId="0" xfId="0" applyFont="1" applyAlignment="1">
      <alignment horizontal="left" vertical="center" indent="4"/>
    </xf>
    <xf numFmtId="0" fontId="87" fillId="2" borderId="97" xfId="0" applyFont="1" applyFill="1" applyBorder="1" applyAlignment="1">
      <alignment vertical="center"/>
    </xf>
    <xf numFmtId="170" fontId="71" fillId="2" borderId="97" xfId="0" applyNumberFormat="1" applyFont="1" applyFill="1" applyBorder="1" applyAlignment="1">
      <alignment horizontal="center" vertical="center"/>
    </xf>
    <xf numFmtId="170" fontId="87" fillId="2" borderId="97" xfId="0" applyNumberFormat="1" applyFont="1" applyFill="1" applyBorder="1" applyAlignment="1">
      <alignment horizontal="center" vertical="center"/>
    </xf>
    <xf numFmtId="178" fontId="87" fillId="2" borderId="85" xfId="0" applyNumberFormat="1" applyFont="1" applyFill="1" applyBorder="1" applyAlignment="1">
      <alignment horizontal="center" vertical="center"/>
    </xf>
    <xf numFmtId="0" fontId="66" fillId="2" borderId="7" xfId="0" applyFont="1" applyFill="1" applyBorder="1" applyAlignment="1">
      <alignment horizontal="left" vertical="center"/>
    </xf>
    <xf numFmtId="0" fontId="6" fillId="22" borderId="97" xfId="0" applyFont="1" applyFill="1" applyBorder="1" applyAlignment="1">
      <alignment vertical="center"/>
    </xf>
    <xf numFmtId="170" fontId="37" fillId="22" borderId="97" xfId="0" applyNumberFormat="1" applyFont="1" applyFill="1" applyBorder="1" applyAlignment="1">
      <alignment horizontal="center" vertical="center"/>
    </xf>
    <xf numFmtId="170" fontId="6" fillId="22" borderId="97" xfId="0" applyNumberFormat="1" applyFont="1" applyFill="1" applyBorder="1" applyAlignment="1">
      <alignment horizontal="center" vertical="center"/>
    </xf>
    <xf numFmtId="178" fontId="6" fillId="22" borderId="100" xfId="0" applyNumberFormat="1" applyFont="1" applyFill="1" applyBorder="1" applyAlignment="1">
      <alignment horizontal="center" vertical="center"/>
    </xf>
    <xf numFmtId="0" fontId="35" fillId="22" borderId="97" xfId="0" applyFont="1" applyFill="1" applyBorder="1" applyAlignment="1">
      <alignment vertical="center"/>
    </xf>
    <xf numFmtId="170" fontId="35" fillId="22" borderId="97" xfId="0" applyNumberFormat="1" applyFont="1" applyFill="1" applyBorder="1" applyAlignment="1">
      <alignment horizontal="center" vertical="center"/>
    </xf>
    <xf numFmtId="178" fontId="35" fillId="22" borderId="100" xfId="0" applyNumberFormat="1" applyFont="1" applyFill="1" applyBorder="1" applyAlignment="1">
      <alignment horizontal="center" vertical="center"/>
    </xf>
    <xf numFmtId="0" fontId="6" fillId="22" borderId="16" xfId="0" applyFont="1" applyFill="1" applyBorder="1" applyAlignment="1">
      <alignment vertical="center"/>
    </xf>
    <xf numFmtId="178" fontId="6" fillId="22" borderId="83" xfId="0" applyNumberFormat="1" applyFont="1" applyFill="1" applyBorder="1" applyAlignment="1">
      <alignment horizontal="center" vertical="center"/>
    </xf>
    <xf numFmtId="178" fontId="6" fillId="2" borderId="16" xfId="0" applyNumberFormat="1" applyFont="1" applyFill="1" applyBorder="1" applyAlignment="1">
      <alignment horizontal="center" vertical="center"/>
    </xf>
    <xf numFmtId="170" fontId="6" fillId="2" borderId="16" xfId="0" applyNumberFormat="1" applyFont="1" applyFill="1" applyBorder="1" applyAlignment="1">
      <alignment horizontal="center" vertical="center"/>
    </xf>
    <xf numFmtId="164" fontId="0" fillId="2" borderId="0" xfId="2" applyNumberFormat="1" applyFont="1" applyFill="1" applyBorder="1" applyAlignment="1">
      <alignment vertical="center"/>
    </xf>
    <xf numFmtId="0" fontId="7" fillId="2" borderId="111" xfId="0" applyFont="1" applyFill="1" applyBorder="1" applyAlignment="1">
      <alignment vertical="center"/>
    </xf>
    <xf numFmtId="0" fontId="8" fillId="2" borderId="16" xfId="0" applyFont="1" applyFill="1" applyBorder="1" applyAlignment="1">
      <alignment vertical="center"/>
    </xf>
    <xf numFmtId="178" fontId="38" fillId="2" borderId="16" xfId="0" applyNumberFormat="1" applyFont="1" applyFill="1" applyBorder="1" applyAlignment="1">
      <alignment horizontal="center" vertical="center"/>
    </xf>
    <xf numFmtId="164" fontId="86" fillId="0" borderId="0" xfId="2" applyNumberFormat="1" applyFont="1" applyBorder="1" applyAlignment="1">
      <alignment vertical="center"/>
    </xf>
    <xf numFmtId="0" fontId="0" fillId="2" borderId="16" xfId="0" applyFill="1" applyBorder="1"/>
    <xf numFmtId="0" fontId="0" fillId="2" borderId="97" xfId="0" applyFill="1" applyBorder="1"/>
    <xf numFmtId="0" fontId="0" fillId="2" borderId="74" xfId="0" applyFill="1" applyBorder="1"/>
    <xf numFmtId="170" fontId="0" fillId="2" borderId="0" xfId="0" applyNumberFormat="1" applyFill="1"/>
    <xf numFmtId="0" fontId="0" fillId="2" borderId="111" xfId="0" applyFill="1" applyBorder="1"/>
    <xf numFmtId="0" fontId="0" fillId="2" borderId="75" xfId="0" applyFill="1" applyBorder="1"/>
    <xf numFmtId="0" fontId="0" fillId="2" borderId="110" xfId="0" applyFill="1" applyBorder="1"/>
    <xf numFmtId="0" fontId="0" fillId="2" borderId="98" xfId="0" applyFill="1" applyBorder="1"/>
    <xf numFmtId="0" fontId="0" fillId="2" borderId="77" xfId="0" applyFill="1" applyBorder="1"/>
    <xf numFmtId="0" fontId="0" fillId="2" borderId="8" xfId="0" applyFill="1" applyBorder="1"/>
    <xf numFmtId="0" fontId="0" fillId="2" borderId="78" xfId="0" applyFill="1" applyBorder="1"/>
    <xf numFmtId="0" fontId="0" fillId="2" borderId="16" xfId="0" applyFill="1" applyBorder="1" applyAlignment="1">
      <alignment vertical="center"/>
    </xf>
    <xf numFmtId="0" fontId="0" fillId="2" borderId="97" xfId="0" applyFill="1" applyBorder="1" applyAlignment="1">
      <alignment vertical="center"/>
    </xf>
    <xf numFmtId="170" fontId="0" fillId="2" borderId="16" xfId="0" applyNumberFormat="1" applyFill="1" applyBorder="1" applyAlignment="1">
      <alignment horizontal="center" vertical="center"/>
    </xf>
    <xf numFmtId="0" fontId="0" fillId="2" borderId="16" xfId="0" applyFill="1" applyBorder="1" applyAlignment="1">
      <alignment horizontal="center" vertical="center"/>
    </xf>
    <xf numFmtId="0" fontId="0" fillId="2" borderId="97" xfId="0" applyFill="1" applyBorder="1" applyAlignment="1">
      <alignment horizontal="center" vertical="center"/>
    </xf>
    <xf numFmtId="0" fontId="18" fillId="2" borderId="16" xfId="0" applyFont="1" applyFill="1" applyBorder="1"/>
    <xf numFmtId="0" fontId="18" fillId="2" borderId="97" xfId="0" applyFont="1" applyFill="1" applyBorder="1"/>
    <xf numFmtId="181" fontId="0" fillId="2" borderId="0" xfId="0" applyNumberFormat="1" applyFill="1"/>
    <xf numFmtId="0" fontId="88" fillId="2" borderId="8" xfId="0" applyFont="1" applyFill="1" applyBorder="1" applyAlignment="1">
      <alignment vertical="center"/>
    </xf>
    <xf numFmtId="181" fontId="0" fillId="2" borderId="8" xfId="0" applyNumberFormat="1" applyFill="1" applyBorder="1"/>
    <xf numFmtId="0" fontId="0" fillId="23" borderId="0" xfId="0" applyFill="1"/>
    <xf numFmtId="0" fontId="0" fillId="24" borderId="0" xfId="0" applyFill="1"/>
    <xf numFmtId="14" fontId="36" fillId="2" borderId="85" xfId="11" applyNumberFormat="1" applyFont="1" applyFill="1" applyBorder="1" applyAlignment="1">
      <alignment vertical="center" wrapText="1"/>
    </xf>
    <xf numFmtId="14" fontId="36" fillId="2" borderId="97" xfId="11" applyNumberFormat="1" applyFont="1" applyFill="1" applyBorder="1" applyAlignment="1"/>
    <xf numFmtId="178" fontId="21" fillId="2" borderId="98" xfId="10" applyNumberFormat="1" applyFont="1" applyFill="1" applyBorder="1" applyAlignment="1">
      <alignment horizontal="center" vertical="center"/>
    </xf>
    <xf numFmtId="14" fontId="35" fillId="4" borderId="85" xfId="11" applyNumberFormat="1" applyFont="1" applyFill="1" applyBorder="1" applyAlignment="1">
      <alignment horizontal="left" vertical="center" wrapText="1"/>
    </xf>
    <xf numFmtId="179" fontId="15" fillId="4" borderId="75" xfId="10" applyNumberFormat="1" applyFont="1" applyFill="1" applyBorder="1" applyAlignment="1">
      <alignment horizontal="center"/>
    </xf>
    <xf numFmtId="14" fontId="35" fillId="8" borderId="85" xfId="11" applyNumberFormat="1" applyFont="1" applyFill="1" applyBorder="1" applyAlignment="1">
      <alignment horizontal="left" vertical="center" wrapText="1"/>
    </xf>
    <xf numFmtId="179" fontId="15" fillId="8" borderId="75" xfId="10" applyNumberFormat="1" applyFont="1" applyFill="1" applyBorder="1" applyAlignment="1">
      <alignment horizontal="center"/>
    </xf>
    <xf numFmtId="14" fontId="37" fillId="8" borderId="97" xfId="11" applyNumberFormat="1" applyFont="1" applyFill="1" applyBorder="1" applyAlignment="1"/>
    <xf numFmtId="177" fontId="69" fillId="8" borderId="85" xfId="10" applyFont="1" applyFill="1" applyBorder="1" applyAlignment="1">
      <alignment vertical="center" wrapText="1"/>
    </xf>
    <xf numFmtId="177" fontId="70" fillId="8" borderId="97" xfId="10" applyFont="1" applyFill="1" applyBorder="1" applyAlignment="1">
      <alignment vertical="center"/>
    </xf>
    <xf numFmtId="178" fontId="69" fillId="8" borderId="97" xfId="10" applyNumberFormat="1" applyFont="1" applyFill="1" applyBorder="1" applyAlignment="1">
      <alignment horizontal="center" vertical="center"/>
    </xf>
    <xf numFmtId="178" fontId="69" fillId="8" borderId="9" xfId="10" applyNumberFormat="1" applyFont="1" applyFill="1" applyBorder="1" applyAlignment="1">
      <alignment horizontal="center" vertical="center"/>
    </xf>
    <xf numFmtId="177" fontId="36" fillId="8" borderId="85" xfId="10" applyFont="1" applyFill="1" applyBorder="1" applyAlignment="1">
      <alignment vertical="center" wrapText="1"/>
    </xf>
    <xf numFmtId="178" fontId="36" fillId="8" borderId="97" xfId="10" applyNumberFormat="1" applyFont="1" applyFill="1" applyBorder="1" applyAlignment="1">
      <alignment horizontal="center" vertical="center"/>
    </xf>
    <xf numFmtId="177" fontId="69" fillId="4" borderId="85" xfId="10" applyFont="1" applyFill="1" applyBorder="1" applyAlignment="1">
      <alignment vertical="center" wrapText="1"/>
    </xf>
    <xf numFmtId="177" fontId="70" fillId="4" borderId="97" xfId="10" applyFont="1" applyFill="1" applyBorder="1" applyAlignment="1">
      <alignment vertical="center"/>
    </xf>
    <xf numFmtId="178" fontId="69" fillId="4" borderId="97" xfId="10" applyNumberFormat="1" applyFont="1" applyFill="1" applyBorder="1" applyAlignment="1">
      <alignment horizontal="center" vertical="center"/>
    </xf>
    <xf numFmtId="177" fontId="36" fillId="4" borderId="85" xfId="10" applyFont="1" applyFill="1" applyBorder="1" applyAlignment="1">
      <alignment vertical="center" wrapText="1"/>
    </xf>
    <xf numFmtId="178" fontId="36" fillId="4" borderId="97" xfId="10" applyNumberFormat="1" applyFont="1" applyFill="1" applyBorder="1" applyAlignment="1">
      <alignment horizontal="center" vertical="center"/>
    </xf>
    <xf numFmtId="0" fontId="8" fillId="2" borderId="0" xfId="0" applyFont="1" applyFill="1" applyAlignment="1">
      <alignment horizontal="left" vertical="center"/>
    </xf>
    <xf numFmtId="0" fontId="0" fillId="9" borderId="84" xfId="0" applyFill="1" applyBorder="1"/>
    <xf numFmtId="3" fontId="0" fillId="9" borderId="11" xfId="0" applyNumberFormat="1" applyFill="1" applyBorder="1" applyAlignment="1">
      <alignment horizontal="left"/>
    </xf>
    <xf numFmtId="0" fontId="0" fillId="9" borderId="11" xfId="0" applyFill="1" applyBorder="1" applyAlignment="1">
      <alignment horizontal="left"/>
    </xf>
    <xf numFmtId="3" fontId="0" fillId="9" borderId="13" xfId="0" applyNumberFormat="1" applyFill="1" applyBorder="1" applyAlignment="1">
      <alignment horizontal="left"/>
    </xf>
    <xf numFmtId="0" fontId="0" fillId="11" borderId="84" xfId="0" applyFill="1" applyBorder="1"/>
    <xf numFmtId="3" fontId="0" fillId="11" borderId="11" xfId="0" applyNumberFormat="1" applyFill="1" applyBorder="1" applyAlignment="1">
      <alignment horizontal="left"/>
    </xf>
    <xf numFmtId="0" fontId="0" fillId="11" borderId="11" xfId="0" applyFill="1" applyBorder="1" applyAlignment="1">
      <alignment horizontal="left"/>
    </xf>
    <xf numFmtId="3" fontId="0" fillId="11" borderId="13" xfId="0" applyNumberFormat="1" applyFill="1" applyBorder="1" applyAlignment="1">
      <alignment horizontal="left"/>
    </xf>
    <xf numFmtId="0" fontId="0" fillId="11" borderId="2" xfId="0" applyFill="1" applyBorder="1"/>
    <xf numFmtId="44" fontId="0" fillId="11" borderId="9" xfId="0" applyNumberFormat="1" applyFill="1" applyBorder="1"/>
    <xf numFmtId="44" fontId="0" fillId="11" borderId="3" xfId="0" applyNumberFormat="1" applyFill="1" applyBorder="1"/>
    <xf numFmtId="0" fontId="0" fillId="11" borderId="82" xfId="0" applyFill="1" applyBorder="1"/>
    <xf numFmtId="44" fontId="0" fillId="11" borderId="16" xfId="0" applyNumberFormat="1" applyFill="1" applyBorder="1"/>
    <xf numFmtId="44" fontId="0" fillId="11" borderId="83" xfId="0" applyNumberFormat="1" applyFill="1" applyBorder="1"/>
    <xf numFmtId="0" fontId="29" fillId="0" borderId="85" xfId="0" applyFont="1" applyBorder="1" applyAlignment="1">
      <alignment horizontal="left" vertical="center" indent="4"/>
    </xf>
    <xf numFmtId="0" fontId="29" fillId="0" borderId="82" xfId="0" applyFont="1" applyBorder="1" applyAlignment="1">
      <alignment horizontal="left" vertical="center" indent="4"/>
    </xf>
    <xf numFmtId="0" fontId="92" fillId="22" borderId="85" xfId="0" applyFont="1" applyFill="1" applyBorder="1" applyAlignment="1">
      <alignment vertical="center"/>
    </xf>
    <xf numFmtId="0" fontId="92" fillId="22" borderId="82" xfId="0" applyFont="1" applyFill="1" applyBorder="1" applyAlignment="1">
      <alignment vertical="center"/>
    </xf>
    <xf numFmtId="0" fontId="5" fillId="2" borderId="16" xfId="0" applyFont="1" applyFill="1" applyBorder="1" applyAlignment="1">
      <alignment vertical="center"/>
    </xf>
    <xf numFmtId="0" fontId="5" fillId="2" borderId="97" xfId="0" applyFont="1" applyFill="1" applyBorder="1" applyAlignment="1">
      <alignment vertical="center"/>
    </xf>
    <xf numFmtId="0" fontId="18" fillId="2" borderId="98" xfId="0" applyFont="1" applyFill="1" applyBorder="1" applyAlignment="1">
      <alignment horizontal="left" vertical="center"/>
    </xf>
    <xf numFmtId="0" fontId="18" fillId="2" borderId="9" xfId="0" applyFont="1" applyFill="1" applyBorder="1" applyAlignment="1">
      <alignment vertical="center"/>
    </xf>
    <xf numFmtId="0" fontId="66" fillId="2" borderId="9" xfId="0" applyFont="1" applyFill="1" applyBorder="1" applyAlignment="1">
      <alignment vertical="center"/>
    </xf>
    <xf numFmtId="178" fontId="87" fillId="2" borderId="0" xfId="0" applyNumberFormat="1" applyFont="1" applyFill="1" applyAlignment="1">
      <alignment horizontal="center" vertical="center"/>
    </xf>
    <xf numFmtId="178" fontId="87" fillId="2" borderId="0" xfId="0" quotePrefix="1" applyNumberFormat="1" applyFont="1" applyFill="1" applyAlignment="1">
      <alignment horizontal="center" vertical="center"/>
    </xf>
    <xf numFmtId="164" fontId="0" fillId="2" borderId="2" xfId="2" applyNumberFormat="1" applyFont="1" applyFill="1" applyBorder="1" applyAlignment="1">
      <alignment vertical="center"/>
    </xf>
    <xf numFmtId="0" fontId="15" fillId="2" borderId="3" xfId="0" applyFont="1" applyFill="1" applyBorder="1" applyAlignment="1">
      <alignment horizontal="left" vertical="center"/>
    </xf>
    <xf numFmtId="164" fontId="0" fillId="2" borderId="81" xfId="2" applyNumberFormat="1" applyFont="1" applyFill="1" applyBorder="1" applyAlignment="1">
      <alignment vertical="center"/>
    </xf>
    <xf numFmtId="0" fontId="15" fillId="2" borderId="4" xfId="0" applyFont="1" applyFill="1" applyBorder="1" applyAlignment="1">
      <alignment horizontal="left" vertical="center"/>
    </xf>
    <xf numFmtId="0" fontId="66" fillId="2" borderId="0" xfId="0" applyFont="1" applyFill="1" applyAlignment="1">
      <alignment horizontal="left" vertical="center"/>
    </xf>
    <xf numFmtId="0" fontId="90" fillId="2" borderId="0" xfId="0" applyFont="1" applyFill="1" applyAlignment="1">
      <alignment horizontal="left" vertical="center"/>
    </xf>
    <xf numFmtId="164" fontId="66" fillId="2" borderId="81" xfId="0" applyNumberFormat="1" applyFont="1" applyFill="1" applyBorder="1" applyAlignment="1">
      <alignment vertical="center"/>
    </xf>
    <xf numFmtId="0" fontId="66" fillId="2" borderId="4" xfId="0" applyFont="1" applyFill="1" applyBorder="1" applyAlignment="1">
      <alignment horizontal="left" vertical="center"/>
    </xf>
    <xf numFmtId="0" fontId="90" fillId="2" borderId="81" xfId="0" applyFont="1" applyFill="1" applyBorder="1" applyAlignment="1">
      <alignment vertical="center"/>
    </xf>
    <xf numFmtId="0" fontId="90" fillId="2" borderId="82" xfId="0" applyFont="1" applyFill="1" applyBorder="1" applyAlignment="1">
      <alignment vertical="center"/>
    </xf>
    <xf numFmtId="0" fontId="90" fillId="2" borderId="16" xfId="0" applyFont="1" applyFill="1" applyBorder="1" applyAlignment="1">
      <alignment horizontal="left" vertical="center"/>
    </xf>
    <xf numFmtId="0" fontId="66" fillId="2" borderId="83" xfId="0" applyFont="1" applyFill="1" applyBorder="1" applyAlignment="1">
      <alignment horizontal="left" vertical="center"/>
    </xf>
    <xf numFmtId="0" fontId="18" fillId="2" borderId="3" xfId="0" applyFont="1" applyFill="1" applyBorder="1" applyAlignment="1">
      <alignment horizontal="left" vertical="center"/>
    </xf>
    <xf numFmtId="164" fontId="29" fillId="0" borderId="2" xfId="2" applyNumberFormat="1" applyFont="1" applyBorder="1" applyAlignment="1">
      <alignment vertical="center"/>
    </xf>
    <xf numFmtId="164" fontId="66" fillId="2" borderId="2" xfId="0" applyNumberFormat="1" applyFont="1" applyFill="1" applyBorder="1" applyAlignment="1">
      <alignment vertical="center"/>
    </xf>
    <xf numFmtId="0" fontId="66" fillId="2" borderId="9" xfId="0" applyFont="1" applyFill="1" applyBorder="1" applyAlignment="1">
      <alignment horizontal="left" vertical="center"/>
    </xf>
    <xf numFmtId="0" fontId="0" fillId="2" borderId="81" xfId="0" applyFill="1" applyBorder="1" applyAlignment="1">
      <alignment vertical="center"/>
    </xf>
    <xf numFmtId="0" fontId="66" fillId="2" borderId="3" xfId="0" applyFont="1" applyFill="1" applyBorder="1" applyAlignment="1">
      <alignment horizontal="left" vertical="center"/>
    </xf>
    <xf numFmtId="0" fontId="0" fillId="2" borderId="4" xfId="0" applyFill="1" applyBorder="1" applyAlignment="1">
      <alignment vertical="center"/>
    </xf>
    <xf numFmtId="0" fontId="0" fillId="0" borderId="0" xfId="0" quotePrefix="1" applyAlignment="1">
      <alignment vertical="center"/>
    </xf>
    <xf numFmtId="0" fontId="0" fillId="2" borderId="2" xfId="0" applyFill="1" applyBorder="1"/>
    <xf numFmtId="170" fontId="0" fillId="2" borderId="82" xfId="0" applyNumberFormat="1" applyFill="1" applyBorder="1" applyAlignment="1">
      <alignment horizontal="center" vertical="center"/>
    </xf>
    <xf numFmtId="170" fontId="0" fillId="2" borderId="97" xfId="0" applyNumberFormat="1" applyFill="1" applyBorder="1" applyAlignment="1">
      <alignment horizontal="center" vertical="center"/>
    </xf>
    <xf numFmtId="0" fontId="8" fillId="2" borderId="97" xfId="0" applyFont="1" applyFill="1" applyBorder="1"/>
    <xf numFmtId="170" fontId="8" fillId="2" borderId="97" xfId="0" applyNumberFormat="1" applyFont="1" applyFill="1" applyBorder="1" applyAlignment="1">
      <alignment horizontal="center" vertical="center"/>
    </xf>
    <xf numFmtId="0" fontId="8" fillId="2" borderId="100" xfId="0" applyFont="1" applyFill="1" applyBorder="1"/>
    <xf numFmtId="170" fontId="8" fillId="2" borderId="82" xfId="0" applyNumberFormat="1" applyFont="1" applyFill="1" applyBorder="1" applyAlignment="1">
      <alignment horizontal="center" vertical="center"/>
    </xf>
    <xf numFmtId="0" fontId="0" fillId="13" borderId="0" xfId="0" applyFill="1" applyAlignment="1">
      <alignment vertical="center"/>
    </xf>
    <xf numFmtId="0" fontId="18" fillId="2" borderId="2" xfId="0" applyFont="1" applyFill="1" applyBorder="1" applyAlignment="1">
      <alignment horizontal="center" vertical="center"/>
    </xf>
    <xf numFmtId="0" fontId="18" fillId="2" borderId="81" xfId="0" applyFont="1" applyFill="1" applyBorder="1" applyAlignment="1">
      <alignment horizontal="center" vertical="center"/>
    </xf>
    <xf numFmtId="0" fontId="18" fillId="2" borderId="125" xfId="0" applyFont="1" applyFill="1" applyBorder="1" applyAlignment="1">
      <alignment horizontal="left" wrapText="1"/>
    </xf>
    <xf numFmtId="0" fontId="41" fillId="2" borderId="97" xfId="0" applyFont="1" applyFill="1" applyBorder="1"/>
    <xf numFmtId="0" fontId="41" fillId="2" borderId="100" xfId="0" applyFont="1" applyFill="1" applyBorder="1"/>
    <xf numFmtId="169" fontId="41" fillId="0" borderId="70" xfId="0" applyNumberFormat="1" applyFont="1" applyBorder="1"/>
    <xf numFmtId="169" fontId="45" fillId="0" borderId="70" xfId="0" applyNumberFormat="1" applyFont="1" applyBorder="1" applyAlignment="1">
      <alignment horizontal="center" vertical="center"/>
    </xf>
    <xf numFmtId="3" fontId="45" fillId="22" borderId="3" xfId="0" applyNumberFormat="1" applyFont="1" applyFill="1" applyBorder="1"/>
    <xf numFmtId="3" fontId="45" fillId="22" borderId="83" xfId="0" applyNumberFormat="1" applyFont="1" applyFill="1" applyBorder="1"/>
    <xf numFmtId="3" fontId="45" fillId="22" borderId="76" xfId="0" applyNumberFormat="1" applyFont="1" applyFill="1" applyBorder="1"/>
    <xf numFmtId="3" fontId="45" fillId="22" borderId="75" xfId="0" applyNumberFormat="1" applyFont="1" applyFill="1" applyBorder="1"/>
    <xf numFmtId="3" fontId="41" fillId="2" borderId="13" xfId="0" applyNumberFormat="1" applyFont="1" applyFill="1" applyBorder="1"/>
    <xf numFmtId="3" fontId="41" fillId="2" borderId="70" xfId="0" applyNumberFormat="1" applyFont="1" applyFill="1" applyBorder="1"/>
    <xf numFmtId="170" fontId="13" fillId="2" borderId="70" xfId="0" applyNumberFormat="1" applyFont="1" applyFill="1" applyBorder="1" applyAlignment="1">
      <alignment horizontal="right"/>
    </xf>
    <xf numFmtId="0" fontId="93" fillId="2" borderId="70" xfId="0" applyFont="1" applyFill="1" applyBorder="1" applyAlignment="1">
      <alignment horizontal="right"/>
    </xf>
    <xf numFmtId="0" fontId="93" fillId="0" borderId="70" xfId="0" applyFont="1" applyBorder="1" applyAlignment="1">
      <alignment horizontal="right"/>
    </xf>
    <xf numFmtId="0" fontId="0" fillId="0" borderId="9" xfId="0" applyBorder="1"/>
    <xf numFmtId="0" fontId="0" fillId="0" borderId="16" xfId="0" applyBorder="1"/>
    <xf numFmtId="0" fontId="0" fillId="0" borderId="83" xfId="0" applyBorder="1"/>
    <xf numFmtId="0" fontId="0" fillId="0" borderId="85" xfId="0" applyBorder="1"/>
    <xf numFmtId="0" fontId="96" fillId="0" borderId="16" xfId="0" applyFont="1" applyBorder="1"/>
    <xf numFmtId="9" fontId="13" fillId="2" borderId="108" xfId="0" applyNumberFormat="1" applyFont="1" applyFill="1" applyBorder="1"/>
    <xf numFmtId="9" fontId="13" fillId="2" borderId="109" xfId="0" applyNumberFormat="1" applyFont="1" applyFill="1" applyBorder="1"/>
    <xf numFmtId="0" fontId="48" fillId="18" borderId="71" xfId="0" applyFont="1" applyFill="1" applyBorder="1"/>
    <xf numFmtId="0" fontId="56" fillId="18" borderId="72" xfId="0" applyFont="1" applyFill="1" applyBorder="1"/>
    <xf numFmtId="0" fontId="56" fillId="18" borderId="73" xfId="0" applyFont="1" applyFill="1" applyBorder="1"/>
    <xf numFmtId="0" fontId="41" fillId="13" borderId="70" xfId="0" applyFont="1" applyFill="1" applyBorder="1"/>
    <xf numFmtId="0" fontId="13" fillId="13" borderId="70" xfId="0" applyFont="1" applyFill="1" applyBorder="1" applyAlignment="1">
      <alignment horizontal="center"/>
    </xf>
    <xf numFmtId="0" fontId="8" fillId="0" borderId="0" xfId="0" applyFont="1" applyAlignment="1">
      <alignment horizontal="left"/>
    </xf>
    <xf numFmtId="0" fontId="0" fillId="0" borderId="0" xfId="0" applyAlignment="1">
      <alignment horizontal="right"/>
    </xf>
    <xf numFmtId="0" fontId="8" fillId="0" borderId="0" xfId="0" applyFont="1" applyAlignment="1">
      <alignment wrapText="1"/>
    </xf>
    <xf numFmtId="0" fontId="0" fillId="2" borderId="0" xfId="0" applyFill="1" applyAlignment="1">
      <alignment horizontal="right" vertical="center" wrapText="1"/>
    </xf>
    <xf numFmtId="0" fontId="15" fillId="0" borderId="17" xfId="0" applyFont="1" applyBorder="1"/>
    <xf numFmtId="0" fontId="15" fillId="0" borderId="19" xfId="0" applyFont="1" applyBorder="1"/>
    <xf numFmtId="0" fontId="15" fillId="0" borderId="70" xfId="0" applyFont="1" applyBorder="1"/>
    <xf numFmtId="0" fontId="0" fillId="2" borderId="81" xfId="0" applyFill="1" applyBorder="1"/>
    <xf numFmtId="3" fontId="0" fillId="2" borderId="4" xfId="0" applyNumberFormat="1" applyFill="1" applyBorder="1"/>
    <xf numFmtId="0" fontId="0" fillId="2" borderId="82" xfId="0" applyFill="1" applyBorder="1"/>
    <xf numFmtId="3" fontId="0" fillId="2" borderId="16" xfId="0" applyNumberFormat="1" applyFill="1" applyBorder="1"/>
    <xf numFmtId="3" fontId="0" fillId="2" borderId="83" xfId="0" applyNumberFormat="1" applyFill="1" applyBorder="1"/>
    <xf numFmtId="0" fontId="34" fillId="20" borderId="0" xfId="0" applyFont="1" applyFill="1"/>
    <xf numFmtId="0" fontId="57" fillId="20" borderId="0" xfId="0" applyFont="1" applyFill="1"/>
    <xf numFmtId="0" fontId="0" fillId="0" borderId="16" xfId="0" applyBorder="1" applyAlignment="1">
      <alignment horizontal="center"/>
    </xf>
    <xf numFmtId="0" fontId="21" fillId="0" borderId="0" xfId="0" applyFont="1"/>
    <xf numFmtId="178" fontId="15" fillId="0" borderId="0" xfId="0" applyNumberFormat="1" applyFont="1"/>
    <xf numFmtId="0" fontId="34" fillId="20" borderId="71" xfId="0" applyFont="1" applyFill="1" applyBorder="1"/>
    <xf numFmtId="0" fontId="60" fillId="20" borderId="72" xfId="0" applyFont="1" applyFill="1" applyBorder="1"/>
    <xf numFmtId="0" fontId="60" fillId="20" borderId="73" xfId="0" applyFont="1" applyFill="1" applyBorder="1"/>
    <xf numFmtId="0" fontId="18" fillId="2" borderId="74" xfId="0" applyFont="1" applyFill="1" applyBorder="1"/>
    <xf numFmtId="0" fontId="21" fillId="2" borderId="0" xfId="0" applyFont="1" applyFill="1"/>
    <xf numFmtId="0" fontId="21" fillId="2" borderId="7" xfId="0" applyFont="1" applyFill="1" applyBorder="1"/>
    <xf numFmtId="0" fontId="21" fillId="2" borderId="74" xfId="0" applyFont="1" applyFill="1" applyBorder="1"/>
    <xf numFmtId="178" fontId="15" fillId="2" borderId="0" xfId="0" applyNumberFormat="1" applyFont="1" applyFill="1"/>
    <xf numFmtId="170" fontId="15" fillId="2" borderId="7" xfId="0" applyNumberFormat="1" applyFont="1" applyFill="1" applyBorder="1"/>
    <xf numFmtId="0" fontId="21" fillId="2" borderId="77" xfId="0" applyFont="1" applyFill="1" applyBorder="1"/>
    <xf numFmtId="178" fontId="15" fillId="2" borderId="8" xfId="0" applyNumberFormat="1" applyFont="1" applyFill="1" applyBorder="1"/>
    <xf numFmtId="170" fontId="15" fillId="2" borderId="78" xfId="0" applyNumberFormat="1" applyFont="1" applyFill="1" applyBorder="1"/>
    <xf numFmtId="183" fontId="15" fillId="0" borderId="0" xfId="12" applyNumberFormat="1" applyFont="1" applyFill="1" applyBorder="1" applyAlignment="1">
      <alignment horizontal="center"/>
    </xf>
    <xf numFmtId="0" fontId="15" fillId="3" borderId="0" xfId="0" applyFont="1" applyFill="1"/>
    <xf numFmtId="0" fontId="29" fillId="0" borderId="0" xfId="0" applyFont="1"/>
    <xf numFmtId="181" fontId="15" fillId="0" borderId="0" xfId="0" applyNumberFormat="1" applyFont="1" applyAlignment="1">
      <alignment horizontal="left"/>
    </xf>
    <xf numFmtId="0" fontId="29" fillId="2" borderId="2" xfId="0" applyFont="1" applyFill="1" applyBorder="1"/>
    <xf numFmtId="0" fontId="29" fillId="2" borderId="81" xfId="0" applyFont="1" applyFill="1" applyBorder="1"/>
    <xf numFmtId="3" fontId="29" fillId="2" borderId="9" xfId="0" applyNumberFormat="1" applyFont="1" applyFill="1" applyBorder="1"/>
    <xf numFmtId="3" fontId="29" fillId="2" borderId="3" xfId="0" applyNumberFormat="1" applyFont="1" applyFill="1" applyBorder="1"/>
    <xf numFmtId="3" fontId="29" fillId="2" borderId="4" xfId="0" applyNumberFormat="1" applyFont="1" applyFill="1" applyBorder="1"/>
    <xf numFmtId="0" fontId="29" fillId="3" borderId="0" xfId="0" applyFont="1" applyFill="1"/>
    <xf numFmtId="0" fontId="0" fillId="0" borderId="9" xfId="0" applyBorder="1" applyAlignment="1">
      <alignment horizontal="right"/>
    </xf>
    <xf numFmtId="3" fontId="0" fillId="0" borderId="9" xfId="0" applyNumberFormat="1" applyBorder="1"/>
    <xf numFmtId="1" fontId="0" fillId="0" borderId="9" xfId="0" applyNumberFormat="1" applyBorder="1"/>
    <xf numFmtId="0" fontId="0" fillId="25" borderId="0" xfId="0" applyFill="1"/>
    <xf numFmtId="164" fontId="0" fillId="25" borderId="0" xfId="0" applyNumberFormat="1" applyFill="1"/>
    <xf numFmtId="178" fontId="0" fillId="25" borderId="0" xfId="0" applyNumberFormat="1" applyFill="1"/>
    <xf numFmtId="164" fontId="0" fillId="24" borderId="0" xfId="0" applyNumberFormat="1" applyFill="1" applyAlignment="1">
      <alignment horizontal="left"/>
    </xf>
    <xf numFmtId="164" fontId="0" fillId="24" borderId="0" xfId="0" applyNumberFormat="1" applyFill="1"/>
    <xf numFmtId="0" fontId="0" fillId="22" borderId="0" xfId="0" applyFill="1"/>
    <xf numFmtId="44" fontId="0" fillId="22" borderId="0" xfId="0" applyNumberFormat="1" applyFill="1"/>
    <xf numFmtId="164" fontId="0" fillId="22" borderId="0" xfId="0" applyNumberFormat="1" applyFill="1" applyAlignment="1">
      <alignment horizontal="left"/>
    </xf>
    <xf numFmtId="178" fontId="0" fillId="24" borderId="0" xfId="0" applyNumberFormat="1" applyFill="1"/>
    <xf numFmtId="164" fontId="0" fillId="22" borderId="0" xfId="0" applyNumberFormat="1" applyFill="1"/>
    <xf numFmtId="44" fontId="0" fillId="25" borderId="0" xfId="0" applyNumberFormat="1" applyFill="1"/>
    <xf numFmtId="6" fontId="0" fillId="0" borderId="0" xfId="0" applyNumberFormat="1"/>
    <xf numFmtId="0" fontId="50" fillId="26" borderId="84" xfId="17" applyFont="1" applyFill="1" applyBorder="1" applyAlignment="1">
      <alignment horizontal="center"/>
    </xf>
    <xf numFmtId="0" fontId="7" fillId="0" borderId="0" xfId="17"/>
    <xf numFmtId="0" fontId="50" fillId="26" borderId="13" xfId="17" applyFont="1" applyFill="1" applyBorder="1" applyAlignment="1">
      <alignment horizontal="center"/>
    </xf>
    <xf numFmtId="0" fontId="98" fillId="0" borderId="0" xfId="17" applyFont="1" applyAlignment="1">
      <alignment horizontal="left"/>
    </xf>
    <xf numFmtId="175" fontId="0" fillId="0" borderId="0" xfId="8" applyNumberFormat="1" applyFont="1" applyAlignment="1"/>
    <xf numFmtId="0" fontId="49" fillId="0" borderId="70" xfId="17" applyFont="1" applyBorder="1" applyAlignment="1" applyProtection="1">
      <alignment horizontal="left"/>
      <protection locked="0"/>
    </xf>
    <xf numFmtId="164" fontId="0" fillId="0" borderId="70" xfId="18" applyNumberFormat="1" applyFont="1" applyBorder="1" applyAlignment="1"/>
    <xf numFmtId="164" fontId="0" fillId="8" borderId="70" xfId="18" applyNumberFormat="1" applyFont="1" applyFill="1" applyBorder="1" applyAlignment="1"/>
    <xf numFmtId="164" fontId="0" fillId="3" borderId="70" xfId="18" applyNumberFormat="1" applyFont="1" applyFill="1" applyBorder="1" applyAlignment="1"/>
    <xf numFmtId="0" fontId="99" fillId="0" borderId="70" xfId="17" applyFont="1" applyBorder="1" applyAlignment="1" applyProtection="1">
      <alignment horizontal="left"/>
      <protection locked="0"/>
    </xf>
    <xf numFmtId="0" fontId="7" fillId="0" borderId="70" xfId="17" applyBorder="1"/>
    <xf numFmtId="164" fontId="7" fillId="0" borderId="70" xfId="17" applyNumberFormat="1" applyBorder="1"/>
    <xf numFmtId="9" fontId="0" fillId="0" borderId="70" xfId="8" applyFont="1" applyBorder="1" applyAlignment="1"/>
    <xf numFmtId="0" fontId="7" fillId="7" borderId="0" xfId="17" applyFill="1"/>
    <xf numFmtId="164" fontId="0" fillId="7" borderId="0" xfId="18" applyNumberFormat="1" applyFont="1" applyFill="1" applyAlignment="1"/>
    <xf numFmtId="0" fontId="7" fillId="3" borderId="0" xfId="17" applyFill="1"/>
    <xf numFmtId="164" fontId="0" fillId="3" borderId="0" xfId="18" applyNumberFormat="1" applyFont="1" applyFill="1"/>
    <xf numFmtId="164" fontId="0" fillId="0" borderId="0" xfId="18" applyNumberFormat="1" applyFont="1" applyAlignment="1"/>
    <xf numFmtId="164" fontId="7" fillId="0" borderId="0" xfId="17" applyNumberFormat="1"/>
    <xf numFmtId="0" fontId="7" fillId="0" borderId="70" xfId="19" applyFont="1" applyBorder="1"/>
    <xf numFmtId="164" fontId="0" fillId="0" borderId="0" xfId="18" applyNumberFormat="1" applyFont="1"/>
    <xf numFmtId="164" fontId="100" fillId="8" borderId="70" xfId="18" applyNumberFormat="1" applyFont="1" applyFill="1" applyBorder="1" applyAlignment="1"/>
    <xf numFmtId="164" fontId="86" fillId="0" borderId="70" xfId="18" applyNumberFormat="1" applyFont="1" applyBorder="1" applyAlignment="1"/>
    <xf numFmtId="164" fontId="0" fillId="3" borderId="0" xfId="18" applyNumberFormat="1" applyFont="1" applyFill="1" applyAlignment="1"/>
    <xf numFmtId="164" fontId="101" fillId="0" borderId="70" xfId="18" applyNumberFormat="1" applyFont="1" applyBorder="1" applyAlignment="1"/>
    <xf numFmtId="0" fontId="49" fillId="27" borderId="70" xfId="17" applyFont="1" applyFill="1" applyBorder="1" applyAlignment="1" applyProtection="1">
      <alignment horizontal="left"/>
      <protection locked="0"/>
    </xf>
    <xf numFmtId="42" fontId="103" fillId="0" borderId="70" xfId="20" applyNumberFormat="1" applyFont="1" applyBorder="1"/>
    <xf numFmtId="0" fontId="99" fillId="0" borderId="70" xfId="17" applyFont="1" applyBorder="1" applyAlignment="1">
      <alignment horizontal="left"/>
    </xf>
    <xf numFmtId="0" fontId="99" fillId="0" borderId="0" xfId="17" applyFont="1"/>
    <xf numFmtId="0" fontId="7" fillId="28" borderId="0" xfId="17" applyFill="1"/>
    <xf numFmtId="164" fontId="0" fillId="28" borderId="0" xfId="18" applyNumberFormat="1" applyFont="1" applyFill="1" applyAlignment="1"/>
    <xf numFmtId="0" fontId="99" fillId="0" borderId="70" xfId="17" applyFont="1" applyBorder="1" applyAlignment="1">
      <alignment horizontal="left" wrapText="1"/>
    </xf>
    <xf numFmtId="0" fontId="49" fillId="0" borderId="70" xfId="17" applyFont="1" applyBorder="1" applyAlignment="1">
      <alignment horizontal="left"/>
    </xf>
    <xf numFmtId="164" fontId="0" fillId="0" borderId="70" xfId="18" applyNumberFormat="1" applyFont="1" applyFill="1" applyBorder="1" applyAlignment="1"/>
    <xf numFmtId="0" fontId="99" fillId="29" borderId="70" xfId="17" applyFont="1" applyFill="1" applyBorder="1"/>
    <xf numFmtId="164" fontId="100" fillId="0" borderId="70" xfId="18" applyNumberFormat="1" applyFont="1" applyBorder="1" applyAlignment="1"/>
    <xf numFmtId="164" fontId="100" fillId="0" borderId="70" xfId="18" applyNumberFormat="1" applyFont="1" applyFill="1" applyBorder="1" applyAlignment="1"/>
    <xf numFmtId="164" fontId="15" fillId="0" borderId="70" xfId="18" applyNumberFormat="1" applyFont="1" applyFill="1" applyBorder="1" applyAlignment="1"/>
    <xf numFmtId="0" fontId="99" fillId="0" borderId="70" xfId="17" applyFont="1" applyBorder="1"/>
    <xf numFmtId="0" fontId="99" fillId="0" borderId="70" xfId="17" applyFont="1" applyBorder="1" applyAlignment="1">
      <alignment wrapText="1"/>
    </xf>
    <xf numFmtId="164" fontId="15" fillId="3" borderId="70" xfId="18" applyNumberFormat="1" applyFont="1" applyFill="1" applyBorder="1" applyAlignment="1"/>
    <xf numFmtId="0" fontId="104" fillId="0" borderId="70" xfId="17" applyFont="1" applyBorder="1" applyAlignment="1">
      <alignment horizontal="left"/>
    </xf>
    <xf numFmtId="0" fontId="59" fillId="0" borderId="0" xfId="17" applyFont="1"/>
    <xf numFmtId="0" fontId="7" fillId="0" borderId="0" xfId="17" applyAlignment="1">
      <alignment horizontal="center"/>
    </xf>
    <xf numFmtId="0" fontId="49" fillId="0" borderId="70" xfId="17" applyFont="1" applyBorder="1"/>
    <xf numFmtId="9" fontId="0" fillId="0" borderId="0" xfId="8" applyFont="1" applyAlignment="1"/>
    <xf numFmtId="164" fontId="7" fillId="8" borderId="70" xfId="17" applyNumberFormat="1" applyFill="1" applyBorder="1"/>
    <xf numFmtId="164" fontId="7" fillId="3" borderId="0" xfId="17" applyNumberFormat="1" applyFill="1"/>
    <xf numFmtId="0" fontId="47" fillId="0" borderId="0" xfId="17" applyFont="1"/>
    <xf numFmtId="0" fontId="49" fillId="0" borderId="0" xfId="17" applyFont="1"/>
    <xf numFmtId="177" fontId="64" fillId="20" borderId="0" xfId="10" applyFont="1" applyFill="1" applyAlignment="1">
      <alignment horizontal="center"/>
    </xf>
    <xf numFmtId="178" fontId="8" fillId="2" borderId="0" xfId="0" applyNumberFormat="1" applyFont="1" applyFill="1"/>
    <xf numFmtId="178" fontId="8" fillId="2" borderId="7" xfId="0" applyNumberFormat="1" applyFont="1" applyFill="1" applyBorder="1"/>
    <xf numFmtId="9" fontId="0" fillId="2" borderId="0" xfId="3" applyFont="1" applyFill="1" applyBorder="1"/>
    <xf numFmtId="178" fontId="0" fillId="2" borderId="0" xfId="0" applyNumberFormat="1" applyFill="1"/>
    <xf numFmtId="0" fontId="34" fillId="20" borderId="72" xfId="0" applyFont="1" applyFill="1" applyBorder="1"/>
    <xf numFmtId="177" fontId="64" fillId="20" borderId="94" xfId="10" applyFont="1" applyFill="1" applyBorder="1" applyAlignment="1">
      <alignment horizontal="center"/>
    </xf>
    <xf numFmtId="0" fontId="0" fillId="20" borderId="73" xfId="0" applyFill="1" applyBorder="1"/>
    <xf numFmtId="0" fontId="61" fillId="20" borderId="71" xfId="0" applyFont="1" applyFill="1" applyBorder="1" applyAlignment="1">
      <alignment vertical="center"/>
    </xf>
    <xf numFmtId="0" fontId="57" fillId="20" borderId="111" xfId="0" applyFont="1" applyFill="1" applyBorder="1"/>
    <xf numFmtId="0" fontId="34" fillId="20" borderId="16" xfId="0" applyFont="1" applyFill="1" applyBorder="1"/>
    <xf numFmtId="0" fontId="0" fillId="20" borderId="75" xfId="0" applyFill="1" applyBorder="1"/>
    <xf numFmtId="0" fontId="29" fillId="2" borderId="0" xfId="0" applyFont="1" applyFill="1"/>
    <xf numFmtId="0" fontId="4" fillId="2" borderId="0" xfId="0" applyFont="1" applyFill="1" applyAlignment="1">
      <alignment horizontal="center" vertical="center"/>
    </xf>
    <xf numFmtId="178" fontId="17" fillId="2" borderId="0" xfId="0" applyNumberFormat="1" applyFont="1" applyFill="1"/>
    <xf numFmtId="0" fontId="4" fillId="2" borderId="85" xfId="0" applyFont="1" applyFill="1" applyBorder="1" applyAlignment="1">
      <alignment vertical="center"/>
    </xf>
    <xf numFmtId="178" fontId="21" fillId="2" borderId="0" xfId="0" applyNumberFormat="1" applyFont="1" applyFill="1"/>
    <xf numFmtId="170" fontId="15" fillId="2" borderId="0" xfId="0" applyNumberFormat="1" applyFont="1" applyFill="1"/>
    <xf numFmtId="3" fontId="0" fillId="0" borderId="3" xfId="0" applyNumberFormat="1" applyBorder="1"/>
    <xf numFmtId="0" fontId="0" fillId="24" borderId="82" xfId="0" applyFill="1" applyBorder="1"/>
    <xf numFmtId="0" fontId="0" fillId="24" borderId="16" xfId="0" applyFill="1" applyBorder="1"/>
    <xf numFmtId="170" fontId="0" fillId="24" borderId="16" xfId="0" applyNumberFormat="1" applyFill="1" applyBorder="1"/>
    <xf numFmtId="170" fontId="0" fillId="24" borderId="83" xfId="0" applyNumberFormat="1" applyFill="1" applyBorder="1"/>
    <xf numFmtId="2" fontId="106" fillId="0" borderId="0" xfId="10" applyNumberFormat="1" applyFont="1" applyAlignment="1">
      <alignment horizontal="center"/>
    </xf>
    <xf numFmtId="0" fontId="38" fillId="0" borderId="0" xfId="21" applyFont="1"/>
    <xf numFmtId="0" fontId="4" fillId="0" borderId="0" xfId="21" applyAlignment="1">
      <alignment horizontal="right"/>
    </xf>
    <xf numFmtId="0" fontId="4" fillId="0" borderId="0" xfId="21"/>
    <xf numFmtId="42" fontId="0" fillId="0" borderId="0" xfId="22" applyNumberFormat="1" applyFont="1"/>
    <xf numFmtId="170" fontId="0" fillId="0" borderId="0" xfId="22" applyNumberFormat="1" applyFont="1"/>
    <xf numFmtId="0" fontId="4" fillId="25" borderId="0" xfId="21" applyFill="1"/>
    <xf numFmtId="0" fontId="38" fillId="0" borderId="0" xfId="21" applyFont="1" applyAlignment="1">
      <alignment horizontal="right"/>
    </xf>
    <xf numFmtId="170" fontId="4" fillId="0" borderId="0" xfId="21" applyNumberFormat="1"/>
    <xf numFmtId="170" fontId="4" fillId="31" borderId="70" xfId="21" applyNumberFormat="1" applyFill="1" applyBorder="1"/>
    <xf numFmtId="170" fontId="4" fillId="30" borderId="70" xfId="21" applyNumberFormat="1" applyFill="1" applyBorder="1"/>
    <xf numFmtId="0" fontId="4" fillId="0" borderId="0" xfId="21" quotePrefix="1"/>
    <xf numFmtId="42" fontId="4" fillId="0" borderId="0" xfId="21" applyNumberFormat="1"/>
    <xf numFmtId="0" fontId="107" fillId="0" borderId="0" xfId="21" applyFont="1"/>
    <xf numFmtId="0" fontId="38" fillId="0" borderId="0" xfId="0" applyFont="1" applyAlignment="1">
      <alignment vertical="center"/>
    </xf>
    <xf numFmtId="169" fontId="4" fillId="0" borderId="0" xfId="21" applyNumberFormat="1"/>
    <xf numFmtId="170" fontId="4" fillId="9" borderId="0" xfId="21" applyNumberFormat="1" applyFill="1"/>
    <xf numFmtId="178" fontId="35" fillId="0" borderId="0" xfId="0" applyNumberFormat="1" applyFont="1" applyAlignment="1">
      <alignment horizontal="right" vertical="center"/>
    </xf>
    <xf numFmtId="170" fontId="4" fillId="0" borderId="70" xfId="21" applyNumberFormat="1" applyBorder="1"/>
    <xf numFmtId="0" fontId="38" fillId="0" borderId="0" xfId="21" applyFont="1" applyAlignment="1">
      <alignment horizontal="right" wrapText="1"/>
    </xf>
    <xf numFmtId="169" fontId="0" fillId="5" borderId="0" xfId="2" applyNumberFormat="1" applyFont="1" applyFill="1"/>
    <xf numFmtId="169" fontId="0" fillId="5" borderId="0" xfId="0" applyNumberFormat="1" applyFill="1"/>
    <xf numFmtId="170" fontId="0" fillId="5" borderId="0" xfId="0" applyNumberFormat="1" applyFill="1"/>
    <xf numFmtId="0" fontId="29" fillId="0" borderId="0" xfId="0" applyFont="1" applyAlignment="1">
      <alignment horizontal="right"/>
    </xf>
    <xf numFmtId="3" fontId="0" fillId="0" borderId="0" xfId="0" applyNumberFormat="1" applyAlignment="1">
      <alignment horizontal="right"/>
    </xf>
    <xf numFmtId="0" fontId="0" fillId="5" borderId="70" xfId="0" applyFill="1" applyBorder="1" applyAlignment="1">
      <alignment horizontal="right"/>
    </xf>
    <xf numFmtId="3" fontId="0" fillId="5" borderId="70" xfId="0" applyNumberFormat="1" applyFill="1" applyBorder="1"/>
    <xf numFmtId="0" fontId="0" fillId="5" borderId="70" xfId="0" applyFill="1" applyBorder="1"/>
    <xf numFmtId="0" fontId="29" fillId="5" borderId="70" xfId="0" applyFont="1" applyFill="1" applyBorder="1" applyAlignment="1">
      <alignment horizontal="right"/>
    </xf>
    <xf numFmtId="3" fontId="29" fillId="5" borderId="70" xfId="0" applyNumberFormat="1" applyFont="1" applyFill="1" applyBorder="1"/>
    <xf numFmtId="3" fontId="29" fillId="5" borderId="70" xfId="0" applyNumberFormat="1" applyFont="1" applyFill="1" applyBorder="1" applyAlignment="1">
      <alignment horizontal="right"/>
    </xf>
    <xf numFmtId="0" fontId="0" fillId="2" borderId="70" xfId="0" applyFill="1" applyBorder="1" applyAlignment="1">
      <alignment horizontal="right"/>
    </xf>
    <xf numFmtId="3" fontId="0" fillId="2" borderId="70" xfId="0" applyNumberFormat="1" applyFill="1" applyBorder="1"/>
    <xf numFmtId="0" fontId="0" fillId="2" borderId="0" xfId="0" applyFill="1" applyAlignment="1">
      <alignment horizontal="right"/>
    </xf>
    <xf numFmtId="3" fontId="0" fillId="5" borderId="70" xfId="0" applyNumberFormat="1" applyFill="1" applyBorder="1" applyAlignment="1">
      <alignment horizontal="right"/>
    </xf>
    <xf numFmtId="0" fontId="108" fillId="0" borderId="0" xfId="21" applyFont="1"/>
    <xf numFmtId="3" fontId="29" fillId="2" borderId="0" xfId="0" applyNumberFormat="1" applyFont="1" applyFill="1"/>
    <xf numFmtId="3" fontId="0" fillId="2" borderId="0" xfId="0" applyNumberFormat="1" applyFill="1"/>
    <xf numFmtId="41" fontId="0" fillId="0" borderId="0" xfId="0" applyNumberFormat="1"/>
    <xf numFmtId="9" fontId="4" fillId="0" borderId="0" xfId="3" applyFont="1"/>
    <xf numFmtId="0" fontId="107" fillId="32" borderId="0" xfId="21" applyFont="1" applyFill="1"/>
    <xf numFmtId="0" fontId="38" fillId="32" borderId="0" xfId="21" applyFont="1" applyFill="1"/>
    <xf numFmtId="0" fontId="38" fillId="23" borderId="0" xfId="21" applyFont="1" applyFill="1"/>
    <xf numFmtId="0" fontId="38" fillId="32" borderId="0" xfId="21" applyFont="1" applyFill="1" applyAlignment="1">
      <alignment horizontal="right"/>
    </xf>
    <xf numFmtId="0" fontId="38" fillId="32" borderId="0" xfId="21" applyFont="1" applyFill="1" applyAlignment="1">
      <alignment horizontal="right" wrapText="1"/>
    </xf>
    <xf numFmtId="175" fontId="29" fillId="0" borderId="0" xfId="3" applyNumberFormat="1" applyFont="1"/>
    <xf numFmtId="175" fontId="29" fillId="0" borderId="70" xfId="3" applyNumberFormat="1" applyFont="1" applyBorder="1"/>
    <xf numFmtId="0" fontId="4" fillId="3" borderId="0" xfId="21" applyFill="1"/>
    <xf numFmtId="9" fontId="4" fillId="2" borderId="70" xfId="3" applyFont="1" applyFill="1" applyBorder="1"/>
    <xf numFmtId="9" fontId="4" fillId="31" borderId="70" xfId="3" applyFont="1" applyFill="1" applyBorder="1"/>
    <xf numFmtId="175" fontId="4" fillId="2" borderId="70" xfId="3" applyNumberFormat="1" applyFont="1" applyFill="1" applyBorder="1"/>
    <xf numFmtId="175" fontId="4" fillId="31" borderId="70" xfId="3" applyNumberFormat="1" applyFont="1" applyFill="1" applyBorder="1"/>
    <xf numFmtId="175" fontId="0" fillId="2" borderId="70" xfId="3" applyNumberFormat="1" applyFont="1" applyFill="1" applyBorder="1"/>
    <xf numFmtId="170" fontId="0" fillId="0" borderId="70" xfId="0" applyNumberFormat="1" applyBorder="1"/>
    <xf numFmtId="170" fontId="0" fillId="31" borderId="70" xfId="0" applyNumberFormat="1" applyFill="1" applyBorder="1"/>
    <xf numFmtId="169" fontId="29" fillId="0" borderId="70" xfId="3" applyNumberFormat="1" applyFont="1" applyBorder="1"/>
    <xf numFmtId="169" fontId="4" fillId="2" borderId="70" xfId="3" applyNumberFormat="1" applyFont="1" applyFill="1" applyBorder="1"/>
    <xf numFmtId="169" fontId="4" fillId="31" borderId="70" xfId="3" applyNumberFormat="1" applyFont="1" applyFill="1" applyBorder="1"/>
    <xf numFmtId="169" fontId="0" fillId="2" borderId="70" xfId="3" applyNumberFormat="1" applyFont="1" applyFill="1" applyBorder="1"/>
    <xf numFmtId="41" fontId="15" fillId="0" borderId="0" xfId="1" applyNumberFormat="1" applyFont="1" applyFill="1" applyBorder="1"/>
    <xf numFmtId="0" fontId="0" fillId="2" borderId="126" xfId="0" applyFill="1" applyBorder="1"/>
    <xf numFmtId="0" fontId="0" fillId="2" borderId="9" xfId="0" applyFill="1" applyBorder="1"/>
    <xf numFmtId="0" fontId="0" fillId="2" borderId="76" xfId="0" applyFill="1" applyBorder="1"/>
    <xf numFmtId="0" fontId="9" fillId="2" borderId="9" xfId="0" applyFont="1" applyFill="1" applyBorder="1"/>
    <xf numFmtId="0" fontId="109" fillId="2" borderId="9" xfId="0" applyFont="1" applyFill="1" applyBorder="1"/>
    <xf numFmtId="0" fontId="109" fillId="2" borderId="0" xfId="0" applyFont="1" applyFill="1"/>
    <xf numFmtId="0" fontId="9" fillId="2" borderId="0" xfId="0" applyFont="1" applyFill="1"/>
    <xf numFmtId="0" fontId="9" fillId="2" borderId="8" xfId="0" applyFont="1" applyFill="1" applyBorder="1"/>
    <xf numFmtId="0" fontId="29" fillId="2" borderId="74" xfId="0" applyFont="1" applyFill="1" applyBorder="1" applyAlignment="1">
      <alignment horizontal="right"/>
    </xf>
    <xf numFmtId="0" fontId="29" fillId="2" borderId="0" xfId="0" applyFont="1" applyFill="1" applyAlignment="1">
      <alignment horizontal="right"/>
    </xf>
    <xf numFmtId="178" fontId="29" fillId="2" borderId="0" xfId="0" applyNumberFormat="1" applyFont="1" applyFill="1" applyAlignment="1">
      <alignment horizontal="right"/>
    </xf>
    <xf numFmtId="0" fontId="29" fillId="2" borderId="7" xfId="0" applyFont="1" applyFill="1" applyBorder="1" applyAlignment="1">
      <alignment horizontal="right"/>
    </xf>
    <xf numFmtId="0" fontId="90" fillId="0" borderId="0" xfId="0" applyFont="1" applyAlignment="1">
      <alignment horizontal="right"/>
    </xf>
    <xf numFmtId="0" fontId="66" fillId="0" borderId="0" xfId="0" applyFont="1" applyAlignment="1">
      <alignment horizontal="right"/>
    </xf>
    <xf numFmtId="178" fontId="90" fillId="2" borderId="0" xfId="0" applyNumberFormat="1" applyFont="1" applyFill="1" applyAlignment="1">
      <alignment horizontal="right"/>
    </xf>
    <xf numFmtId="178" fontId="18" fillId="2" borderId="0" xfId="0" applyNumberFormat="1" applyFont="1" applyFill="1"/>
    <xf numFmtId="170" fontId="18" fillId="2" borderId="0" xfId="0" applyNumberFormat="1" applyFont="1" applyFill="1"/>
    <xf numFmtId="170" fontId="8" fillId="0" borderId="0" xfId="0" applyNumberFormat="1" applyFont="1"/>
    <xf numFmtId="14" fontId="21" fillId="2" borderId="74" xfId="11" applyNumberFormat="1" applyFont="1" applyFill="1" applyBorder="1" applyAlignment="1"/>
    <xf numFmtId="3" fontId="0" fillId="3" borderId="0" xfId="0" applyNumberFormat="1" applyFill="1" applyAlignment="1">
      <alignment horizontal="left"/>
    </xf>
    <xf numFmtId="170" fontId="37" fillId="22" borderId="16" xfId="0" applyNumberFormat="1" applyFont="1" applyFill="1" applyBorder="1" applyAlignment="1">
      <alignment horizontal="center" vertical="center"/>
    </xf>
    <xf numFmtId="170" fontId="6" fillId="22" borderId="16" xfId="0" applyNumberFormat="1" applyFont="1" applyFill="1" applyBorder="1" applyAlignment="1">
      <alignment horizontal="center" vertical="center"/>
    </xf>
    <xf numFmtId="178" fontId="6" fillId="2" borderId="82" xfId="0" applyNumberFormat="1" applyFont="1" applyFill="1" applyBorder="1" applyAlignment="1">
      <alignment horizontal="center" vertical="center"/>
    </xf>
    <xf numFmtId="0" fontId="12" fillId="5" borderId="110" xfId="0" applyFont="1" applyFill="1" applyBorder="1" applyAlignment="1">
      <alignment vertical="center"/>
    </xf>
    <xf numFmtId="0" fontId="12" fillId="5" borderId="97" xfId="0" applyFont="1" applyFill="1" applyBorder="1" applyAlignment="1">
      <alignment vertical="center"/>
    </xf>
    <xf numFmtId="0" fontId="73" fillId="5" borderId="97" xfId="0" applyFont="1" applyFill="1" applyBorder="1" applyAlignment="1">
      <alignment vertical="center"/>
    </xf>
    <xf numFmtId="0" fontId="108" fillId="5" borderId="97" xfId="0" applyFont="1" applyFill="1" applyBorder="1" applyAlignment="1">
      <alignment vertical="center"/>
    </xf>
    <xf numFmtId="170" fontId="65" fillId="5" borderId="97" xfId="0" applyNumberFormat="1" applyFont="1" applyFill="1" applyBorder="1" applyAlignment="1">
      <alignment horizontal="center" vertical="center"/>
    </xf>
    <xf numFmtId="170" fontId="108" fillId="5" borderId="97" xfId="0" applyNumberFormat="1" applyFont="1" applyFill="1" applyBorder="1" applyAlignment="1">
      <alignment horizontal="center" vertical="center"/>
    </xf>
    <xf numFmtId="178" fontId="108" fillId="5" borderId="97" xfId="0" applyNumberFormat="1" applyFont="1" applyFill="1" applyBorder="1" applyAlignment="1">
      <alignment horizontal="center" vertical="center"/>
    </xf>
    <xf numFmtId="178" fontId="6" fillId="2" borderId="83" xfId="0" applyNumberFormat="1" applyFont="1" applyFill="1" applyBorder="1" applyAlignment="1">
      <alignment horizontal="center" vertical="center"/>
    </xf>
    <xf numFmtId="0" fontId="15" fillId="2" borderId="9" xfId="0" applyFont="1" applyFill="1" applyBorder="1" applyAlignment="1">
      <alignment vertical="center"/>
    </xf>
    <xf numFmtId="0" fontId="61" fillId="20" borderId="74" xfId="0" applyFont="1" applyFill="1" applyBorder="1" applyAlignment="1">
      <alignment vertical="center"/>
    </xf>
    <xf numFmtId="0" fontId="0" fillId="20" borderId="7" xfId="0" applyFill="1" applyBorder="1"/>
    <xf numFmtId="177" fontId="64" fillId="20" borderId="72" xfId="10" applyFont="1" applyFill="1" applyBorder="1" applyAlignment="1">
      <alignment horizontal="center"/>
    </xf>
    <xf numFmtId="0" fontId="36" fillId="2" borderId="0" xfId="0" applyFont="1" applyFill="1" applyAlignment="1">
      <alignment vertical="center"/>
    </xf>
    <xf numFmtId="0" fontId="21" fillId="2" borderId="0" xfId="0" applyFont="1" applyFill="1" applyAlignment="1">
      <alignment vertical="center"/>
    </xf>
    <xf numFmtId="170" fontId="36" fillId="2" borderId="0" xfId="10" applyNumberFormat="1" applyFont="1" applyFill="1" applyAlignment="1">
      <alignment horizontal="center"/>
    </xf>
    <xf numFmtId="178" fontId="38" fillId="2" borderId="13" xfId="0" applyNumberFormat="1" applyFont="1" applyFill="1" applyBorder="1" applyAlignment="1">
      <alignment horizontal="center" vertical="center"/>
    </xf>
    <xf numFmtId="0" fontId="37" fillId="2" borderId="0" xfId="0" applyFont="1" applyFill="1" applyAlignment="1">
      <alignment horizontal="center" vertical="center"/>
    </xf>
    <xf numFmtId="0" fontId="6" fillId="8" borderId="97" xfId="0" applyFont="1" applyFill="1" applyBorder="1" applyAlignment="1">
      <alignment vertical="center"/>
    </xf>
    <xf numFmtId="178" fontId="6" fillId="8" borderId="97" xfId="0" applyNumberFormat="1" applyFont="1" applyFill="1" applyBorder="1" applyAlignment="1">
      <alignment horizontal="center" vertical="center"/>
    </xf>
    <xf numFmtId="178" fontId="6" fillId="8" borderId="70" xfId="0" applyNumberFormat="1" applyFont="1" applyFill="1" applyBorder="1" applyAlignment="1">
      <alignment horizontal="center" vertical="center"/>
    </xf>
    <xf numFmtId="178" fontId="3" fillId="8" borderId="97" xfId="0" quotePrefix="1" applyNumberFormat="1" applyFont="1" applyFill="1" applyBorder="1" applyAlignment="1">
      <alignment horizontal="center" vertical="center"/>
    </xf>
    <xf numFmtId="178" fontId="6" fillId="8" borderId="13" xfId="0" applyNumberFormat="1" applyFont="1" applyFill="1" applyBorder="1" applyAlignment="1">
      <alignment horizontal="center" vertical="center"/>
    </xf>
    <xf numFmtId="0" fontId="38" fillId="8" borderId="85" xfId="0" applyFont="1" applyFill="1" applyBorder="1" applyAlignment="1">
      <alignment vertical="center"/>
    </xf>
    <xf numFmtId="0" fontId="38" fillId="8" borderId="97" xfId="0" applyFont="1" applyFill="1" applyBorder="1" applyAlignment="1">
      <alignment vertical="center"/>
    </xf>
    <xf numFmtId="178" fontId="36" fillId="8" borderId="97" xfId="0" applyNumberFormat="1" applyFont="1" applyFill="1" applyBorder="1" applyAlignment="1">
      <alignment horizontal="center" vertical="center"/>
    </xf>
    <xf numFmtId="178" fontId="79" fillId="8" borderId="97" xfId="0" applyNumberFormat="1" applyFont="1" applyFill="1" applyBorder="1" applyAlignment="1">
      <alignment horizontal="center" vertical="center"/>
    </xf>
    <xf numFmtId="178" fontId="38" fillId="8" borderId="13" xfId="0" applyNumberFormat="1" applyFont="1" applyFill="1" applyBorder="1" applyAlignment="1">
      <alignment horizontal="center" vertical="center"/>
    </xf>
    <xf numFmtId="178" fontId="35" fillId="8" borderId="97" xfId="0" applyNumberFormat="1" applyFont="1" applyFill="1" applyBorder="1" applyAlignment="1">
      <alignment horizontal="center" vertical="center"/>
    </xf>
    <xf numFmtId="0" fontId="35" fillId="8" borderId="85" xfId="0" applyFont="1" applyFill="1" applyBorder="1" applyAlignment="1">
      <alignment vertical="center"/>
    </xf>
    <xf numFmtId="0" fontId="37" fillId="8" borderId="97" xfId="0" applyFont="1" applyFill="1" applyBorder="1" applyAlignment="1">
      <alignment vertical="center"/>
    </xf>
    <xf numFmtId="178" fontId="35" fillId="8" borderId="70" xfId="0" applyNumberFormat="1" applyFont="1" applyFill="1" applyBorder="1" applyAlignment="1">
      <alignment horizontal="center" vertical="center"/>
    </xf>
    <xf numFmtId="178" fontId="79" fillId="8" borderId="97" xfId="0" applyNumberFormat="1" applyFont="1" applyFill="1" applyBorder="1" applyAlignment="1">
      <alignment vertical="center"/>
    </xf>
    <xf numFmtId="178" fontId="38" fillId="8" borderId="97" xfId="0" applyNumberFormat="1" applyFont="1" applyFill="1" applyBorder="1" applyAlignment="1">
      <alignment horizontal="center" vertical="center"/>
    </xf>
    <xf numFmtId="178" fontId="38" fillId="8" borderId="100" xfId="0" applyNumberFormat="1" applyFont="1" applyFill="1" applyBorder="1" applyAlignment="1">
      <alignment horizontal="center" vertical="center"/>
    </xf>
    <xf numFmtId="0" fontId="35" fillId="4" borderId="85" xfId="0" applyFont="1" applyFill="1" applyBorder="1" applyAlignment="1">
      <alignment vertical="center"/>
    </xf>
    <xf numFmtId="178" fontId="37" fillId="4" borderId="97" xfId="0" applyNumberFormat="1" applyFont="1" applyFill="1" applyBorder="1" applyAlignment="1">
      <alignment horizontal="center" vertical="center"/>
    </xf>
    <xf numFmtId="178" fontId="35" fillId="4" borderId="97" xfId="0" applyNumberFormat="1" applyFont="1" applyFill="1" applyBorder="1" applyAlignment="1">
      <alignment horizontal="center" vertical="center"/>
    </xf>
    <xf numFmtId="178" fontId="35" fillId="4" borderId="70" xfId="0" applyNumberFormat="1" applyFont="1" applyFill="1" applyBorder="1" applyAlignment="1">
      <alignment horizontal="center" vertical="center"/>
    </xf>
    <xf numFmtId="170" fontId="37" fillId="4" borderId="97" xfId="0" applyNumberFormat="1" applyFont="1" applyFill="1" applyBorder="1" applyAlignment="1">
      <alignment horizontal="center" vertical="center"/>
    </xf>
    <xf numFmtId="178" fontId="6" fillId="4" borderId="97" xfId="0" applyNumberFormat="1" applyFont="1" applyFill="1" applyBorder="1" applyAlignment="1">
      <alignment horizontal="center" vertical="center"/>
    </xf>
    <xf numFmtId="0" fontId="38" fillId="4" borderId="85" xfId="0" applyFont="1" applyFill="1" applyBorder="1" applyAlignment="1">
      <alignment vertical="center"/>
    </xf>
    <xf numFmtId="0" fontId="38" fillId="4" borderId="97" xfId="0" applyFont="1" applyFill="1" applyBorder="1" applyAlignment="1">
      <alignment vertical="center"/>
    </xf>
    <xf numFmtId="178" fontId="36" fillId="4" borderId="97" xfId="0" applyNumberFormat="1" applyFont="1" applyFill="1" applyBorder="1" applyAlignment="1">
      <alignment horizontal="center" vertical="center"/>
    </xf>
    <xf numFmtId="178" fontId="79" fillId="4" borderId="97" xfId="0" applyNumberFormat="1" applyFont="1" applyFill="1" applyBorder="1" applyAlignment="1">
      <alignment horizontal="center" vertical="center"/>
    </xf>
    <xf numFmtId="178" fontId="38" fillId="4" borderId="100" xfId="0" applyNumberFormat="1" applyFont="1" applyFill="1" applyBorder="1" applyAlignment="1">
      <alignment horizontal="center" vertical="center"/>
    </xf>
    <xf numFmtId="0" fontId="21" fillId="4" borderId="0" xfId="0" applyFont="1" applyFill="1" applyAlignment="1">
      <alignment vertical="center"/>
    </xf>
    <xf numFmtId="178" fontId="36" fillId="4" borderId="0" xfId="0" applyNumberFormat="1" applyFont="1" applyFill="1" applyAlignment="1">
      <alignment horizontal="center" vertical="center"/>
    </xf>
    <xf numFmtId="178" fontId="38" fillId="4" borderId="0" xfId="0" applyNumberFormat="1" applyFont="1" applyFill="1" applyAlignment="1">
      <alignment horizontal="center" vertical="center"/>
    </xf>
    <xf numFmtId="0" fontId="6" fillId="2" borderId="78" xfId="0" applyFont="1" applyFill="1" applyBorder="1"/>
    <xf numFmtId="0" fontId="7" fillId="2" borderId="77" xfId="0" applyFont="1" applyFill="1" applyBorder="1" applyAlignment="1">
      <alignment vertical="center"/>
    </xf>
    <xf numFmtId="0" fontId="38" fillId="2" borderId="8" xfId="0" applyFont="1" applyFill="1" applyBorder="1" applyAlignment="1">
      <alignment vertical="center"/>
    </xf>
    <xf numFmtId="178" fontId="36" fillId="2" borderId="8" xfId="0" applyNumberFormat="1" applyFont="1" applyFill="1" applyBorder="1" applyAlignment="1">
      <alignment horizontal="center" vertical="center"/>
    </xf>
    <xf numFmtId="178" fontId="79" fillId="2" borderId="8" xfId="0" applyNumberFormat="1" applyFont="1" applyFill="1" applyBorder="1" applyAlignment="1">
      <alignment horizontal="center" vertical="center"/>
    </xf>
    <xf numFmtId="178" fontId="38" fillId="2" borderId="102" xfId="0" applyNumberFormat="1" applyFont="1" applyFill="1" applyBorder="1" applyAlignment="1">
      <alignment horizontal="center" vertical="center"/>
    </xf>
    <xf numFmtId="0" fontId="8" fillId="8" borderId="2" xfId="0" applyFont="1" applyFill="1" applyBorder="1" applyAlignment="1">
      <alignment vertical="center"/>
    </xf>
    <xf numFmtId="0" fontId="21" fillId="8" borderId="9" xfId="0" applyFont="1" applyFill="1" applyBorder="1" applyAlignment="1">
      <alignment vertical="center"/>
    </xf>
    <xf numFmtId="178" fontId="36" fillId="8" borderId="9" xfId="0" applyNumberFormat="1" applyFont="1" applyFill="1" applyBorder="1" applyAlignment="1">
      <alignment horizontal="center" vertical="center"/>
    </xf>
    <xf numFmtId="178" fontId="38" fillId="8" borderId="9" xfId="0" applyNumberFormat="1" applyFont="1" applyFill="1" applyBorder="1" applyAlignment="1">
      <alignment horizontal="center" vertical="center"/>
    </xf>
    <xf numFmtId="0" fontId="8" fillId="4" borderId="81" xfId="0" applyFont="1" applyFill="1" applyBorder="1" applyAlignment="1">
      <alignment vertical="center"/>
    </xf>
    <xf numFmtId="0" fontId="38" fillId="4" borderId="0" xfId="0" applyFont="1" applyFill="1" applyAlignment="1">
      <alignment vertical="center"/>
    </xf>
    <xf numFmtId="0" fontId="8" fillId="2" borderId="82" xfId="0" applyFont="1" applyFill="1" applyBorder="1" applyAlignment="1">
      <alignment vertical="center"/>
    </xf>
    <xf numFmtId="0" fontId="21" fillId="2" borderId="16" xfId="0" applyFont="1" applyFill="1" applyBorder="1" applyAlignment="1">
      <alignment vertical="center"/>
    </xf>
    <xf numFmtId="0" fontId="87" fillId="2" borderId="0" xfId="0" applyFont="1" applyFill="1" applyAlignment="1">
      <alignment vertical="center"/>
    </xf>
    <xf numFmtId="0" fontId="36" fillId="8" borderId="2" xfId="0" applyFont="1" applyFill="1" applyBorder="1" applyAlignment="1">
      <alignment vertical="center"/>
    </xf>
    <xf numFmtId="0" fontId="36" fillId="4" borderId="81" xfId="0" applyFont="1" applyFill="1" applyBorder="1" applyAlignment="1">
      <alignment vertical="center"/>
    </xf>
    <xf numFmtId="0" fontId="36" fillId="2" borderId="82" xfId="0" applyFont="1" applyFill="1" applyBorder="1" applyAlignment="1">
      <alignment vertical="center"/>
    </xf>
    <xf numFmtId="0" fontId="38" fillId="8" borderId="9" xfId="0" applyFont="1" applyFill="1" applyBorder="1" applyAlignment="1">
      <alignment vertical="center"/>
    </xf>
    <xf numFmtId="0" fontId="87" fillId="2" borderId="82" xfId="0" applyFont="1" applyFill="1" applyBorder="1" applyAlignment="1">
      <alignment vertical="center"/>
    </xf>
    <xf numFmtId="178" fontId="87" fillId="2" borderId="16" xfId="0" applyNumberFormat="1" applyFont="1" applyFill="1" applyBorder="1" applyAlignment="1">
      <alignment horizontal="center" vertical="center"/>
    </xf>
    <xf numFmtId="0" fontId="87" fillId="0" borderId="81" xfId="0" applyFont="1" applyBorder="1" applyAlignment="1">
      <alignment vertical="center"/>
    </xf>
    <xf numFmtId="178" fontId="38" fillId="8" borderId="84" xfId="0" applyNumberFormat="1" applyFont="1" applyFill="1" applyBorder="1" applyAlignment="1">
      <alignment horizontal="center" vertical="center"/>
    </xf>
    <xf numFmtId="178" fontId="38" fillId="4" borderId="11" xfId="0" applyNumberFormat="1" applyFont="1" applyFill="1" applyBorder="1" applyAlignment="1">
      <alignment horizontal="center" vertical="center"/>
    </xf>
    <xf numFmtId="0" fontId="87" fillId="8" borderId="2" xfId="0" applyFont="1" applyFill="1" applyBorder="1" applyAlignment="1">
      <alignment vertical="center"/>
    </xf>
    <xf numFmtId="0" fontId="110" fillId="8" borderId="9" xfId="0" applyFont="1" applyFill="1" applyBorder="1" applyAlignment="1">
      <alignment vertical="center"/>
    </xf>
    <xf numFmtId="0" fontId="87" fillId="8" borderId="81" xfId="0" applyFont="1" applyFill="1" applyBorder="1" applyAlignment="1">
      <alignment vertical="center"/>
    </xf>
    <xf numFmtId="0" fontId="110" fillId="8" borderId="0" xfId="0" applyFont="1" applyFill="1" applyAlignment="1">
      <alignment vertical="center"/>
    </xf>
    <xf numFmtId="0" fontId="87" fillId="4" borderId="81" xfId="0" applyFont="1" applyFill="1" applyBorder="1" applyAlignment="1">
      <alignment vertical="center"/>
    </xf>
    <xf numFmtId="0" fontId="110" fillId="4" borderId="0" xfId="0" applyFont="1" applyFill="1" applyAlignment="1">
      <alignment vertical="center"/>
    </xf>
    <xf numFmtId="0" fontId="110" fillId="2" borderId="0" xfId="0" applyFont="1" applyFill="1" applyAlignment="1">
      <alignment vertical="center"/>
    </xf>
    <xf numFmtId="184" fontId="87" fillId="8" borderId="9" xfId="0" applyNumberFormat="1" applyFont="1" applyFill="1" applyBorder="1" applyAlignment="1">
      <alignment horizontal="center" vertical="center"/>
    </xf>
    <xf numFmtId="184" fontId="87" fillId="8" borderId="84" xfId="0" applyNumberFormat="1" applyFont="1" applyFill="1" applyBorder="1" applyAlignment="1">
      <alignment horizontal="center" vertical="center"/>
    </xf>
    <xf numFmtId="184" fontId="87" fillId="8" borderId="0" xfId="0" applyNumberFormat="1" applyFont="1" applyFill="1" applyAlignment="1">
      <alignment horizontal="center" vertical="center"/>
    </xf>
    <xf numFmtId="184" fontId="87" fillId="8" borderId="11" xfId="0" applyNumberFormat="1" applyFont="1" applyFill="1" applyBorder="1" applyAlignment="1">
      <alignment horizontal="center" vertical="center"/>
    </xf>
    <xf numFmtId="184" fontId="87" fillId="4" borderId="0" xfId="0" applyNumberFormat="1" applyFont="1" applyFill="1" applyAlignment="1">
      <alignment horizontal="center" vertical="center"/>
    </xf>
    <xf numFmtId="184" fontId="87" fillId="4" borderId="11" xfId="0" applyNumberFormat="1" applyFont="1" applyFill="1" applyBorder="1" applyAlignment="1">
      <alignment horizontal="center" vertical="center"/>
    </xf>
    <xf numFmtId="184" fontId="87" fillId="2" borderId="0" xfId="0" applyNumberFormat="1" applyFont="1" applyFill="1" applyAlignment="1">
      <alignment horizontal="center" vertical="center"/>
    </xf>
    <xf numFmtId="184" fontId="87" fillId="2" borderId="11" xfId="0" applyNumberFormat="1" applyFont="1" applyFill="1" applyBorder="1" applyAlignment="1">
      <alignment horizontal="center" vertical="center"/>
    </xf>
    <xf numFmtId="184" fontId="87" fillId="2" borderId="16" xfId="0" applyNumberFormat="1" applyFont="1" applyFill="1" applyBorder="1" applyAlignment="1">
      <alignment horizontal="center" vertical="center"/>
    </xf>
    <xf numFmtId="184" fontId="87" fillId="2" borderId="13" xfId="0" applyNumberFormat="1" applyFont="1" applyFill="1" applyBorder="1" applyAlignment="1">
      <alignment horizontal="center" vertical="center"/>
    </xf>
    <xf numFmtId="178" fontId="21" fillId="2" borderId="0" xfId="0" quotePrefix="1" applyNumberFormat="1" applyFont="1" applyFill="1" applyAlignment="1">
      <alignment horizontal="right"/>
    </xf>
    <xf numFmtId="6" fontId="66" fillId="2" borderId="0" xfId="0" applyNumberFormat="1" applyFont="1" applyFill="1"/>
    <xf numFmtId="6" fontId="29" fillId="2" borderId="0" xfId="0" applyNumberFormat="1" applyFont="1" applyFill="1"/>
    <xf numFmtId="0" fontId="8" fillId="2" borderId="16" xfId="0" applyFont="1" applyFill="1" applyBorder="1"/>
    <xf numFmtId="178" fontId="17" fillId="2" borderId="16" xfId="0" applyNumberFormat="1" applyFont="1" applyFill="1" applyBorder="1"/>
    <xf numFmtId="178" fontId="8" fillId="2" borderId="16" xfId="0" applyNumberFormat="1" applyFont="1" applyFill="1" applyBorder="1"/>
    <xf numFmtId="178" fontId="18" fillId="2" borderId="16" xfId="0" applyNumberFormat="1" applyFont="1" applyFill="1" applyBorder="1"/>
    <xf numFmtId="178" fontId="0" fillId="2" borderId="16" xfId="0" applyNumberFormat="1" applyFill="1" applyBorder="1"/>
    <xf numFmtId="178" fontId="21" fillId="2" borderId="16" xfId="0" quotePrefix="1" applyNumberFormat="1" applyFont="1" applyFill="1" applyBorder="1" applyAlignment="1">
      <alignment horizontal="right"/>
    </xf>
    <xf numFmtId="178" fontId="15" fillId="2" borderId="16" xfId="0" applyNumberFormat="1" applyFont="1" applyFill="1" applyBorder="1"/>
    <xf numFmtId="6" fontId="90" fillId="2" borderId="0" xfId="0" applyNumberFormat="1" applyFont="1" applyFill="1"/>
    <xf numFmtId="177" fontId="65" fillId="20" borderId="94" xfId="10" applyFont="1" applyFill="1" applyBorder="1" applyAlignment="1">
      <alignment horizontal="center"/>
    </xf>
    <xf numFmtId="0" fontId="9" fillId="2" borderId="8" xfId="0" applyFont="1" applyFill="1" applyBorder="1" applyAlignment="1">
      <alignment vertical="top"/>
    </xf>
    <xf numFmtId="178" fontId="79" fillId="2" borderId="0" xfId="0" applyNumberFormat="1" applyFont="1" applyFill="1" applyAlignment="1">
      <alignment horizontal="center" vertical="center"/>
    </xf>
    <xf numFmtId="0" fontId="87" fillId="2" borderId="81" xfId="0" applyFont="1" applyFill="1" applyBorder="1" applyAlignment="1">
      <alignment vertical="center"/>
    </xf>
    <xf numFmtId="178" fontId="71" fillId="2" borderId="0" xfId="0" applyNumberFormat="1" applyFont="1" applyFill="1" applyAlignment="1">
      <alignment horizontal="center" vertical="center"/>
    </xf>
    <xf numFmtId="178" fontId="71" fillId="2" borderId="16" xfId="0" applyNumberFormat="1" applyFont="1" applyFill="1" applyBorder="1" applyAlignment="1">
      <alignment horizontal="center" vertical="center"/>
    </xf>
    <xf numFmtId="178" fontId="37" fillId="2" borderId="0" xfId="0" applyNumberFormat="1" applyFont="1" applyFill="1" applyAlignment="1">
      <alignment horizontal="center" vertical="center"/>
    </xf>
    <xf numFmtId="0" fontId="37" fillId="2" borderId="0" xfId="0" applyFont="1" applyFill="1" applyAlignment="1">
      <alignment horizontal="center"/>
    </xf>
    <xf numFmtId="178" fontId="6" fillId="2" borderId="0" xfId="0" applyNumberFormat="1" applyFont="1" applyFill="1"/>
    <xf numFmtId="170" fontId="6" fillId="2" borderId="8" xfId="0" applyNumberFormat="1" applyFont="1" applyFill="1" applyBorder="1" applyAlignment="1">
      <alignment horizontal="center" vertical="center"/>
    </xf>
    <xf numFmtId="0" fontId="6" fillId="2" borderId="78" xfId="0" applyFont="1" applyFill="1" applyBorder="1" applyAlignment="1">
      <alignment vertical="center"/>
    </xf>
    <xf numFmtId="0" fontId="7" fillId="2" borderId="71" xfId="0" applyFont="1" applyFill="1" applyBorder="1"/>
    <xf numFmtId="0" fontId="7" fillId="2" borderId="72" xfId="0" applyFont="1" applyFill="1" applyBorder="1"/>
    <xf numFmtId="0" fontId="6" fillId="2" borderId="72" xfId="0" applyFont="1" applyFill="1" applyBorder="1" applyAlignment="1">
      <alignment vertical="center"/>
    </xf>
    <xf numFmtId="0" fontId="6" fillId="2" borderId="72" xfId="0" applyFont="1" applyFill="1" applyBorder="1"/>
    <xf numFmtId="178" fontId="6" fillId="2" borderId="72" xfId="0" applyNumberFormat="1" applyFont="1" applyFill="1" applyBorder="1" applyAlignment="1">
      <alignment horizontal="center"/>
    </xf>
    <xf numFmtId="0" fontId="6" fillId="2" borderId="73" xfId="0" applyFont="1" applyFill="1" applyBorder="1" applyAlignment="1">
      <alignment vertical="center"/>
    </xf>
    <xf numFmtId="0" fontId="18" fillId="2" borderId="7" xfId="0" applyFont="1" applyFill="1" applyBorder="1"/>
    <xf numFmtId="0" fontId="29" fillId="2" borderId="111" xfId="0" applyFont="1" applyFill="1" applyBorder="1" applyAlignment="1">
      <alignment horizontal="right"/>
    </xf>
    <xf numFmtId="0" fontId="29" fillId="2" borderId="16" xfId="0" applyFont="1" applyFill="1" applyBorder="1" applyAlignment="1">
      <alignment horizontal="right"/>
    </xf>
    <xf numFmtId="178" fontId="29" fillId="2" borderId="16" xfId="0" applyNumberFormat="1" applyFont="1" applyFill="1" applyBorder="1" applyAlignment="1">
      <alignment horizontal="right"/>
    </xf>
    <xf numFmtId="0" fontId="29" fillId="2" borderId="75" xfId="0" applyFont="1" applyFill="1" applyBorder="1" applyAlignment="1">
      <alignment horizontal="right"/>
    </xf>
    <xf numFmtId="177" fontId="69" fillId="11" borderId="85" xfId="10" applyFont="1" applyFill="1" applyBorder="1" applyAlignment="1">
      <alignment vertical="center" wrapText="1"/>
    </xf>
    <xf numFmtId="178" fontId="71" fillId="11" borderId="97" xfId="10" applyNumberFormat="1" applyFont="1" applyFill="1" applyBorder="1" applyAlignment="1">
      <alignment horizontal="center" vertical="center"/>
    </xf>
    <xf numFmtId="178" fontId="69" fillId="11" borderId="97" xfId="10" applyNumberFormat="1" applyFont="1" applyFill="1" applyBorder="1" applyAlignment="1">
      <alignment horizontal="center" vertical="center"/>
    </xf>
    <xf numFmtId="178" fontId="69" fillId="11" borderId="9" xfId="10" applyNumberFormat="1" applyFont="1" applyFill="1" applyBorder="1" applyAlignment="1">
      <alignment horizontal="center" vertical="center"/>
    </xf>
    <xf numFmtId="178" fontId="15" fillId="11" borderId="98" xfId="10" applyNumberFormat="1" applyFont="1" applyFill="1" applyBorder="1" applyAlignment="1">
      <alignment horizontal="center" vertical="center"/>
    </xf>
    <xf numFmtId="177" fontId="36" fillId="11" borderId="85" xfId="10" applyFont="1" applyFill="1" applyBorder="1" applyAlignment="1">
      <alignment vertical="center" wrapText="1"/>
    </xf>
    <xf numFmtId="178" fontId="79" fillId="11" borderId="97" xfId="10" applyNumberFormat="1" applyFont="1" applyFill="1" applyBorder="1" applyAlignment="1">
      <alignment horizontal="center" vertical="center"/>
    </xf>
    <xf numFmtId="178" fontId="36" fillId="11" borderId="97" xfId="10" applyNumberFormat="1" applyFont="1" applyFill="1" applyBorder="1" applyAlignment="1">
      <alignment horizontal="center" vertical="center"/>
    </xf>
    <xf numFmtId="0" fontId="4" fillId="11" borderId="85" xfId="0" applyFont="1" applyFill="1" applyBorder="1" applyAlignment="1">
      <alignment vertical="center"/>
    </xf>
    <xf numFmtId="178" fontId="37" fillId="11" borderId="97" xfId="0" applyNumberFormat="1" applyFont="1" applyFill="1" applyBorder="1" applyAlignment="1">
      <alignment horizontal="center" vertical="center"/>
    </xf>
    <xf numFmtId="178" fontId="6" fillId="11" borderId="97" xfId="0" applyNumberFormat="1" applyFont="1" applyFill="1" applyBorder="1" applyAlignment="1">
      <alignment horizontal="center" vertical="center"/>
    </xf>
    <xf numFmtId="178" fontId="6" fillId="11" borderId="70" xfId="0" applyNumberFormat="1" applyFont="1" applyFill="1" applyBorder="1" applyAlignment="1">
      <alignment horizontal="center" vertical="center"/>
    </xf>
    <xf numFmtId="178" fontId="6" fillId="11" borderId="13" xfId="0" applyNumberFormat="1" applyFont="1" applyFill="1" applyBorder="1" applyAlignment="1">
      <alignment horizontal="center" vertical="center"/>
    </xf>
    <xf numFmtId="178" fontId="4" fillId="11" borderId="97" xfId="0" applyNumberFormat="1" applyFont="1" applyFill="1" applyBorder="1" applyAlignment="1">
      <alignment horizontal="center" vertical="center"/>
    </xf>
    <xf numFmtId="0" fontId="38" fillId="11" borderId="85" xfId="0" applyFont="1" applyFill="1" applyBorder="1" applyAlignment="1">
      <alignment vertical="center"/>
    </xf>
    <xf numFmtId="178" fontId="79" fillId="11" borderId="97" xfId="0" applyNumberFormat="1" applyFont="1" applyFill="1" applyBorder="1" applyAlignment="1">
      <alignment horizontal="center" vertical="center"/>
    </xf>
    <xf numFmtId="178" fontId="36" fillId="11" borderId="97" xfId="0" applyNumberFormat="1" applyFont="1" applyFill="1" applyBorder="1" applyAlignment="1">
      <alignment horizontal="center" vertical="center"/>
    </xf>
    <xf numFmtId="178" fontId="38" fillId="11" borderId="13" xfId="0" applyNumberFormat="1" applyFont="1" applyFill="1" applyBorder="1" applyAlignment="1">
      <alignment horizontal="center" vertical="center"/>
    </xf>
    <xf numFmtId="0" fontId="6" fillId="11" borderId="85" xfId="0" applyFont="1" applyFill="1" applyBorder="1" applyAlignment="1">
      <alignment vertical="center"/>
    </xf>
    <xf numFmtId="178" fontId="35" fillId="11" borderId="97" xfId="0" applyNumberFormat="1" applyFont="1" applyFill="1" applyBorder="1" applyAlignment="1">
      <alignment horizontal="center" vertical="center"/>
    </xf>
    <xf numFmtId="178" fontId="38" fillId="11" borderId="100" xfId="0" applyNumberFormat="1" applyFont="1" applyFill="1" applyBorder="1" applyAlignment="1">
      <alignment horizontal="center" vertical="center"/>
    </xf>
    <xf numFmtId="0" fontId="36" fillId="11" borderId="2" xfId="0" applyFont="1" applyFill="1" applyBorder="1" applyAlignment="1">
      <alignment vertical="center"/>
    </xf>
    <xf numFmtId="178" fontId="79" fillId="11" borderId="9" xfId="0" applyNumberFormat="1" applyFont="1" applyFill="1" applyBorder="1" applyAlignment="1">
      <alignment horizontal="center" vertical="center"/>
    </xf>
    <xf numFmtId="178" fontId="36" fillId="11" borderId="9" xfId="0" applyNumberFormat="1" applyFont="1" applyFill="1" applyBorder="1" applyAlignment="1">
      <alignment horizontal="center" vertical="center"/>
    </xf>
    <xf numFmtId="178" fontId="38" fillId="11" borderId="9" xfId="0" applyNumberFormat="1" applyFont="1" applyFill="1" applyBorder="1" applyAlignment="1">
      <alignment horizontal="center" vertical="center"/>
    </xf>
    <xf numFmtId="178" fontId="38" fillId="11" borderId="84" xfId="0" applyNumberFormat="1" applyFont="1" applyFill="1" applyBorder="1" applyAlignment="1">
      <alignment horizontal="center" vertical="center"/>
    </xf>
    <xf numFmtId="0" fontId="8" fillId="11" borderId="2" xfId="0" applyFont="1" applyFill="1" applyBorder="1" applyAlignment="1">
      <alignment vertical="center"/>
    </xf>
    <xf numFmtId="0" fontId="87" fillId="11" borderId="2" xfId="0" applyFont="1" applyFill="1" applyBorder="1" applyAlignment="1">
      <alignment vertical="center"/>
    </xf>
    <xf numFmtId="178" fontId="71" fillId="11" borderId="9" xfId="0" applyNumberFormat="1" applyFont="1" applyFill="1" applyBorder="1" applyAlignment="1">
      <alignment horizontal="center" vertical="center"/>
    </xf>
    <xf numFmtId="184" fontId="87" fillId="11" borderId="9" xfId="0" applyNumberFormat="1" applyFont="1" applyFill="1" applyBorder="1" applyAlignment="1">
      <alignment horizontal="center" vertical="center"/>
    </xf>
    <xf numFmtId="184" fontId="87" fillId="11" borderId="84" xfId="0" applyNumberFormat="1" applyFont="1" applyFill="1" applyBorder="1" applyAlignment="1">
      <alignment horizontal="center" vertical="center"/>
    </xf>
    <xf numFmtId="0" fontId="87" fillId="11" borderId="81" xfId="0" applyFont="1" applyFill="1" applyBorder="1" applyAlignment="1">
      <alignment vertical="center"/>
    </xf>
    <xf numFmtId="178" fontId="71" fillId="11" borderId="0" xfId="0" applyNumberFormat="1" applyFont="1" applyFill="1" applyAlignment="1">
      <alignment horizontal="center" vertical="center"/>
    </xf>
    <xf numFmtId="184" fontId="87" fillId="11" borderId="0" xfId="0" applyNumberFormat="1" applyFont="1" applyFill="1" applyAlignment="1">
      <alignment horizontal="center" vertical="center"/>
    </xf>
    <xf numFmtId="184" fontId="87" fillId="11" borderId="11" xfId="0" applyNumberFormat="1" applyFont="1" applyFill="1" applyBorder="1" applyAlignment="1">
      <alignment horizontal="center" vertical="center"/>
    </xf>
    <xf numFmtId="0" fontId="87" fillId="9" borderId="81" xfId="0" applyFont="1" applyFill="1" applyBorder="1" applyAlignment="1">
      <alignment vertical="center"/>
    </xf>
    <xf numFmtId="178" fontId="71" fillId="9" borderId="0" xfId="0" applyNumberFormat="1" applyFont="1" applyFill="1" applyAlignment="1">
      <alignment horizontal="center" vertical="center"/>
    </xf>
    <xf numFmtId="184" fontId="87" fillId="9" borderId="0" xfId="0" applyNumberFormat="1" applyFont="1" applyFill="1" applyAlignment="1">
      <alignment horizontal="center" vertical="center"/>
    </xf>
    <xf numFmtId="184" fontId="87" fillId="9" borderId="11" xfId="0" applyNumberFormat="1" applyFont="1" applyFill="1" applyBorder="1" applyAlignment="1">
      <alignment horizontal="center" vertical="center"/>
    </xf>
    <xf numFmtId="0" fontId="87" fillId="9" borderId="0" xfId="0" applyFont="1" applyFill="1" applyAlignment="1">
      <alignment vertical="center"/>
    </xf>
    <xf numFmtId="0" fontId="36" fillId="9" borderId="81" xfId="0" applyFont="1" applyFill="1" applyBorder="1" applyAlignment="1">
      <alignment vertical="center"/>
    </xf>
    <xf numFmtId="178" fontId="79" fillId="9" borderId="0" xfId="0" applyNumberFormat="1" applyFont="1" applyFill="1" applyAlignment="1">
      <alignment horizontal="center" vertical="center"/>
    </xf>
    <xf numFmtId="178" fontId="36" fillId="9" borderId="0" xfId="0" applyNumberFormat="1" applyFont="1" applyFill="1" applyAlignment="1">
      <alignment horizontal="center" vertical="center"/>
    </xf>
    <xf numFmtId="178" fontId="38" fillId="9" borderId="0" xfId="0" applyNumberFormat="1" applyFont="1" applyFill="1" applyAlignment="1">
      <alignment horizontal="center" vertical="center"/>
    </xf>
    <xf numFmtId="178" fontId="38" fillId="9" borderId="11" xfId="0" applyNumberFormat="1" applyFont="1" applyFill="1" applyBorder="1" applyAlignment="1">
      <alignment horizontal="center" vertical="center"/>
    </xf>
    <xf numFmtId="0" fontId="38" fillId="9" borderId="85" xfId="0" applyFont="1" applyFill="1" applyBorder="1" applyAlignment="1">
      <alignment vertical="center"/>
    </xf>
    <xf numFmtId="178" fontId="79" fillId="9" borderId="97" xfId="0" applyNumberFormat="1" applyFont="1" applyFill="1" applyBorder="1" applyAlignment="1">
      <alignment horizontal="center" vertical="center"/>
    </xf>
    <xf numFmtId="178" fontId="36" fillId="9" borderId="97" xfId="0" applyNumberFormat="1" applyFont="1" applyFill="1" applyBorder="1" applyAlignment="1">
      <alignment horizontal="center" vertical="center"/>
    </xf>
    <xf numFmtId="178" fontId="38" fillId="9" borderId="100" xfId="0" applyNumberFormat="1" applyFont="1" applyFill="1" applyBorder="1" applyAlignment="1">
      <alignment horizontal="center" vertical="center"/>
    </xf>
    <xf numFmtId="0" fontId="8" fillId="9" borderId="81" xfId="0" applyFont="1" applyFill="1" applyBorder="1" applyAlignment="1">
      <alignment vertical="center"/>
    </xf>
    <xf numFmtId="0" fontId="6" fillId="9" borderId="85" xfId="0" applyFont="1" applyFill="1" applyBorder="1" applyAlignment="1">
      <alignment vertical="center"/>
    </xf>
    <xf numFmtId="178" fontId="37" fillId="9" borderId="97" xfId="0" applyNumberFormat="1" applyFont="1" applyFill="1" applyBorder="1" applyAlignment="1">
      <alignment horizontal="center" vertical="center"/>
    </xf>
    <xf numFmtId="178" fontId="35" fillId="9" borderId="97" xfId="0" applyNumberFormat="1" applyFont="1" applyFill="1" applyBorder="1" applyAlignment="1">
      <alignment horizontal="center" vertical="center"/>
    </xf>
    <xf numFmtId="178" fontId="6" fillId="9" borderId="97" xfId="0" applyNumberFormat="1" applyFont="1" applyFill="1" applyBorder="1" applyAlignment="1">
      <alignment horizontal="center" vertical="center"/>
    </xf>
    <xf numFmtId="178" fontId="6" fillId="9" borderId="70" xfId="0" applyNumberFormat="1" applyFont="1" applyFill="1" applyBorder="1" applyAlignment="1">
      <alignment horizontal="center" vertical="center"/>
    </xf>
    <xf numFmtId="0" fontId="4" fillId="9" borderId="85" xfId="0" applyFont="1" applyFill="1" applyBorder="1" applyAlignment="1">
      <alignment vertical="center"/>
    </xf>
    <xf numFmtId="0" fontId="3" fillId="9" borderId="85" xfId="0" applyFont="1" applyFill="1" applyBorder="1" applyAlignment="1">
      <alignment vertical="center"/>
    </xf>
    <xf numFmtId="178" fontId="35" fillId="9" borderId="97" xfId="0" quotePrefix="1" applyNumberFormat="1" applyFont="1" applyFill="1" applyBorder="1" applyAlignment="1">
      <alignment horizontal="center" vertical="center"/>
    </xf>
    <xf numFmtId="178" fontId="6" fillId="9" borderId="100" xfId="0" applyNumberFormat="1" applyFont="1" applyFill="1" applyBorder="1" applyAlignment="1">
      <alignment horizontal="center" vertical="center"/>
    </xf>
    <xf numFmtId="177" fontId="69" fillId="9" borderId="85" xfId="10" applyFont="1" applyFill="1" applyBorder="1" applyAlignment="1">
      <alignment vertical="center" wrapText="1"/>
    </xf>
    <xf numFmtId="178" fontId="71" fillId="9" borderId="97" xfId="10" applyNumberFormat="1" applyFont="1" applyFill="1" applyBorder="1" applyAlignment="1">
      <alignment horizontal="center" vertical="center"/>
    </xf>
    <xf numFmtId="178" fontId="69" fillId="9" borderId="97" xfId="10" applyNumberFormat="1" applyFont="1" applyFill="1" applyBorder="1" applyAlignment="1">
      <alignment horizontal="center" vertical="center"/>
    </xf>
    <xf numFmtId="177" fontId="36" fillId="9" borderId="85" xfId="10" applyFont="1" applyFill="1" applyBorder="1" applyAlignment="1">
      <alignment vertical="center" wrapText="1"/>
    </xf>
    <xf numFmtId="178" fontId="79" fillId="9" borderId="97" xfId="10" applyNumberFormat="1" applyFont="1" applyFill="1" applyBorder="1" applyAlignment="1">
      <alignment horizontal="center" vertical="center"/>
    </xf>
    <xf numFmtId="178" fontId="36" fillId="9" borderId="97" xfId="10" applyNumberFormat="1" applyFont="1" applyFill="1" applyBorder="1" applyAlignment="1">
      <alignment horizontal="center" vertical="center"/>
    </xf>
    <xf numFmtId="14" fontId="35" fillId="9" borderId="85" xfId="11" applyNumberFormat="1" applyFont="1" applyFill="1" applyBorder="1" applyAlignment="1">
      <alignment horizontal="left" vertical="center" wrapText="1"/>
    </xf>
    <xf numFmtId="14" fontId="35" fillId="9" borderId="97" xfId="11" applyNumberFormat="1" applyFont="1" applyFill="1" applyBorder="1" applyAlignment="1"/>
    <xf numFmtId="178" fontId="35" fillId="9" borderId="97" xfId="10" applyNumberFormat="1" applyFont="1" applyFill="1" applyBorder="1" applyAlignment="1">
      <alignment horizontal="center" vertical="center"/>
    </xf>
    <xf numFmtId="179" fontId="15" fillId="9" borderId="75" xfId="10" applyNumberFormat="1" applyFont="1" applyFill="1" applyBorder="1" applyAlignment="1">
      <alignment horizontal="center"/>
    </xf>
    <xf numFmtId="14" fontId="35" fillId="11" borderId="85" xfId="11" applyNumberFormat="1" applyFont="1" applyFill="1" applyBorder="1" applyAlignment="1">
      <alignment horizontal="left" vertical="center" wrapText="1"/>
    </xf>
    <xf numFmtId="14" fontId="35" fillId="11" borderId="97" xfId="11" applyNumberFormat="1" applyFont="1" applyFill="1" applyBorder="1" applyAlignment="1"/>
    <xf numFmtId="178" fontId="35" fillId="11" borderId="97" xfId="10" applyNumberFormat="1" applyFont="1" applyFill="1" applyBorder="1" applyAlignment="1">
      <alignment horizontal="center" vertical="center"/>
    </xf>
    <xf numFmtId="179" fontId="15" fillId="11" borderId="75" xfId="10" applyNumberFormat="1" applyFont="1" applyFill="1" applyBorder="1" applyAlignment="1">
      <alignment horizontal="center"/>
    </xf>
    <xf numFmtId="178" fontId="79" fillId="2" borderId="0" xfId="10" applyNumberFormat="1" applyFont="1" applyFill="1" applyAlignment="1">
      <alignment horizontal="center" vertical="center"/>
    </xf>
    <xf numFmtId="178" fontId="36" fillId="2" borderId="7" xfId="10" applyNumberFormat="1" applyFont="1" applyFill="1" applyBorder="1" applyAlignment="1">
      <alignment horizontal="center" vertical="center"/>
    </xf>
    <xf numFmtId="178" fontId="15" fillId="9" borderId="98" xfId="10" applyNumberFormat="1" applyFont="1" applyFill="1" applyBorder="1" applyAlignment="1">
      <alignment horizontal="center" vertical="center"/>
    </xf>
    <xf numFmtId="178" fontId="79" fillId="2" borderId="0" xfId="10" applyNumberFormat="1" applyFont="1" applyFill="1" applyAlignment="1">
      <alignment horizontal="center"/>
    </xf>
    <xf numFmtId="2" fontId="0" fillId="0" borderId="0" xfId="0" applyNumberFormat="1"/>
    <xf numFmtId="170" fontId="111" fillId="0" borderId="0" xfId="0" applyNumberFormat="1" applyFont="1" applyAlignment="1">
      <alignment horizontal="center" vertical="center"/>
    </xf>
    <xf numFmtId="0" fontId="61" fillId="20" borderId="72" xfId="0" applyFont="1" applyFill="1" applyBorder="1"/>
    <xf numFmtId="14" fontId="36" fillId="2" borderId="0" xfId="11" applyNumberFormat="1" applyFont="1" applyFill="1" applyAlignment="1">
      <alignment vertical="center"/>
    </xf>
    <xf numFmtId="0" fontId="114" fillId="20" borderId="72" xfId="0" applyFont="1" applyFill="1" applyBorder="1" applyAlignment="1">
      <alignment vertical="center"/>
    </xf>
    <xf numFmtId="177" fontId="114" fillId="20" borderId="0" xfId="10" applyFont="1" applyFill="1" applyAlignment="1">
      <alignment vertical="top"/>
    </xf>
    <xf numFmtId="0" fontId="2" fillId="2" borderId="0" xfId="0" applyFont="1" applyFill="1" applyAlignment="1">
      <alignment horizontal="center" vertical="center"/>
    </xf>
    <xf numFmtId="0" fontId="2" fillId="8" borderId="85" xfId="0" applyFont="1" applyFill="1" applyBorder="1" applyAlignment="1">
      <alignment vertical="center"/>
    </xf>
    <xf numFmtId="0" fontId="2" fillId="4" borderId="85" xfId="0" applyFont="1" applyFill="1" applyBorder="1" applyAlignment="1">
      <alignment vertical="center"/>
    </xf>
    <xf numFmtId="0" fontId="38" fillId="2" borderId="97" xfId="0" applyFont="1" applyFill="1" applyBorder="1" applyAlignment="1">
      <alignment vertical="center"/>
    </xf>
    <xf numFmtId="177" fontId="112" fillId="20" borderId="0" xfId="10" applyFont="1" applyFill="1" applyAlignment="1">
      <alignment vertical="top"/>
    </xf>
    <xf numFmtId="177" fontId="113" fillId="20" borderId="0" xfId="10" applyFont="1" applyFill="1" applyAlignment="1">
      <alignment vertical="center"/>
    </xf>
    <xf numFmtId="0" fontId="8" fillId="2" borderId="21" xfId="0" applyFont="1" applyFill="1" applyBorder="1" applyAlignment="1">
      <alignment horizontal="center"/>
    </xf>
    <xf numFmtId="0" fontId="8" fillId="2" borderId="20" xfId="0" applyFont="1" applyFill="1" applyBorder="1" applyAlignment="1">
      <alignment horizontal="center"/>
    </xf>
    <xf numFmtId="0" fontId="0" fillId="0" borderId="0" xfId="0" applyAlignment="1">
      <alignment horizontal="center"/>
    </xf>
    <xf numFmtId="0" fontId="11" fillId="2" borderId="33" xfId="0" applyFont="1" applyFill="1" applyBorder="1" applyAlignment="1">
      <alignment horizontal="center"/>
    </xf>
    <xf numFmtId="0" fontId="11" fillId="2" borderId="47" xfId="0" applyFont="1" applyFill="1" applyBorder="1" applyAlignment="1">
      <alignment horizontal="center"/>
    </xf>
    <xf numFmtId="14" fontId="8" fillId="2" borderId="0" xfId="0" applyNumberFormat="1" applyFont="1" applyFill="1" applyAlignment="1">
      <alignment horizontal="center"/>
    </xf>
    <xf numFmtId="14" fontId="8" fillId="2" borderId="7" xfId="0" applyNumberFormat="1" applyFont="1" applyFill="1" applyBorder="1" applyAlignment="1">
      <alignment horizontal="center"/>
    </xf>
    <xf numFmtId="0" fontId="8" fillId="0" borderId="0" xfId="0" applyFont="1" applyAlignment="1">
      <alignment horizontal="center"/>
    </xf>
    <xf numFmtId="0" fontId="8" fillId="2" borderId="69" xfId="0" applyFont="1" applyFill="1" applyBorder="1" applyAlignment="1">
      <alignment horizontal="center" wrapText="1"/>
    </xf>
    <xf numFmtId="0" fontId="8" fillId="2" borderId="40" xfId="0" applyFont="1" applyFill="1" applyBorder="1" applyAlignment="1">
      <alignment horizontal="center" wrapText="1"/>
    </xf>
    <xf numFmtId="0" fontId="11" fillId="0" borderId="33" xfId="0" applyFont="1" applyBorder="1" applyAlignment="1">
      <alignment horizontal="center"/>
    </xf>
    <xf numFmtId="164" fontId="8" fillId="2" borderId="69" xfId="2" applyNumberFormat="1" applyFont="1" applyFill="1" applyBorder="1" applyAlignment="1">
      <alignment horizontal="center" wrapText="1"/>
    </xf>
    <xf numFmtId="164" fontId="8" fillId="2" borderId="40" xfId="2" applyNumberFormat="1" applyFont="1" applyFill="1" applyBorder="1" applyAlignment="1">
      <alignment horizontal="center" wrapText="1"/>
    </xf>
    <xf numFmtId="0" fontId="8" fillId="2" borderId="69" xfId="0" applyFont="1" applyFill="1" applyBorder="1" applyAlignment="1">
      <alignment horizontal="center"/>
    </xf>
    <xf numFmtId="0" fontId="8" fillId="2" borderId="40" xfId="0" applyFont="1" applyFill="1" applyBorder="1" applyAlignment="1">
      <alignment horizontal="center"/>
    </xf>
    <xf numFmtId="177" fontId="113" fillId="20" borderId="0" xfId="10" applyFont="1" applyFill="1" applyAlignment="1">
      <alignment horizontal="left" wrapText="1"/>
    </xf>
    <xf numFmtId="14" fontId="75" fillId="2" borderId="0" xfId="11" applyNumberFormat="1" applyFont="1" applyFill="1" applyAlignment="1">
      <alignment horizontal="left" wrapText="1"/>
    </xf>
    <xf numFmtId="177" fontId="64" fillId="20" borderId="0" xfId="10" applyFont="1" applyFill="1" applyAlignment="1">
      <alignment horizontal="center" wrapText="1"/>
    </xf>
    <xf numFmtId="177" fontId="64" fillId="20" borderId="16" xfId="10" applyFont="1" applyFill="1" applyBorder="1" applyAlignment="1">
      <alignment horizontal="center" wrapText="1"/>
    </xf>
    <xf numFmtId="0" fontId="18" fillId="2" borderId="97" xfId="0" applyFont="1" applyFill="1" applyBorder="1" applyAlignment="1">
      <alignment horizontal="left" vertical="center" wrapText="1"/>
    </xf>
    <xf numFmtId="0" fontId="18" fillId="2" borderId="98" xfId="0" applyFont="1" applyFill="1" applyBorder="1" applyAlignment="1">
      <alignment horizontal="left" vertical="center" wrapText="1"/>
    </xf>
    <xf numFmtId="0" fontId="18" fillId="2" borderId="110" xfId="0" applyFont="1" applyFill="1" applyBorder="1" applyAlignment="1">
      <alignment horizontal="left" vertical="center" wrapText="1"/>
    </xf>
    <xf numFmtId="14" fontId="35" fillId="8" borderId="85" xfId="11" applyNumberFormat="1" applyFont="1" applyFill="1" applyBorder="1" applyAlignment="1">
      <alignment horizontal="left" vertical="center" wrapText="1"/>
    </xf>
    <xf numFmtId="14" fontId="35" fillId="8" borderId="97" xfId="11" applyNumberFormat="1" applyFont="1" applyFill="1" applyBorder="1" applyAlignment="1">
      <alignment horizontal="left" vertical="center" wrapText="1"/>
    </xf>
    <xf numFmtId="0" fontId="15" fillId="2" borderId="110" xfId="0" applyFont="1" applyFill="1" applyBorder="1" applyAlignment="1">
      <alignment horizontal="left" vertical="center" wrapText="1"/>
    </xf>
    <xf numFmtId="0" fontId="15" fillId="2" borderId="97" xfId="0" applyFont="1" applyFill="1" applyBorder="1" applyAlignment="1">
      <alignment horizontal="left" vertical="center" wrapText="1"/>
    </xf>
    <xf numFmtId="0" fontId="15" fillId="2" borderId="98" xfId="0" applyFont="1" applyFill="1" applyBorder="1" applyAlignment="1">
      <alignment horizontal="left" vertical="center" wrapText="1"/>
    </xf>
    <xf numFmtId="14" fontId="75" fillId="2" borderId="9" xfId="11" applyNumberFormat="1" applyFont="1" applyFill="1" applyBorder="1" applyAlignment="1">
      <alignment horizontal="left" wrapText="1"/>
    </xf>
    <xf numFmtId="14" fontId="75" fillId="2" borderId="76" xfId="11" applyNumberFormat="1" applyFont="1" applyFill="1" applyBorder="1" applyAlignment="1">
      <alignment horizontal="left" wrapText="1"/>
    </xf>
    <xf numFmtId="177" fontId="114" fillId="20" borderId="0" xfId="10" applyFont="1" applyFill="1" applyAlignment="1">
      <alignment horizontal="left" wrapText="1"/>
    </xf>
    <xf numFmtId="177" fontId="57" fillId="20" borderId="0" xfId="10" applyFont="1" applyFill="1" applyAlignment="1">
      <alignment horizontal="left" wrapText="1"/>
    </xf>
    <xf numFmtId="0" fontId="0" fillId="0" borderId="16" xfId="0" applyBorder="1" applyAlignment="1">
      <alignment horizontal="center"/>
    </xf>
    <xf numFmtId="0" fontId="8" fillId="0" borderId="0" xfId="0" applyFont="1" applyAlignment="1">
      <alignment horizontal="left"/>
    </xf>
    <xf numFmtId="0" fontId="48" fillId="18" borderId="18" xfId="0" applyFont="1" applyFill="1" applyBorder="1" applyAlignment="1">
      <alignment horizontal="center"/>
    </xf>
    <xf numFmtId="0" fontId="48" fillId="18" borderId="19" xfId="0" applyFont="1" applyFill="1" applyBorder="1" applyAlignment="1">
      <alignment horizontal="center"/>
    </xf>
    <xf numFmtId="0" fontId="41" fillId="3" borderId="114" xfId="0" applyFont="1" applyFill="1" applyBorder="1" applyAlignment="1">
      <alignment horizontal="left" wrapText="1"/>
    </xf>
    <xf numFmtId="0" fontId="41" fillId="3" borderId="0" xfId="0" applyFont="1" applyFill="1" applyAlignment="1">
      <alignment horizontal="left" wrapText="1"/>
    </xf>
    <xf numFmtId="0" fontId="57" fillId="19" borderId="0" xfId="0" applyFont="1" applyFill="1" applyAlignment="1">
      <alignment horizontal="center"/>
    </xf>
    <xf numFmtId="0" fontId="12" fillId="19" borderId="0" xfId="0" applyFont="1" applyFill="1" applyAlignment="1">
      <alignment horizontal="center"/>
    </xf>
    <xf numFmtId="0" fontId="26" fillId="0" borderId="81" xfId="6" applyFont="1" applyBorder="1" applyAlignment="1">
      <alignment horizontal="left" vertical="center" wrapText="1"/>
    </xf>
    <xf numFmtId="0" fontId="26" fillId="0" borderId="0" xfId="6" applyFont="1" applyAlignment="1">
      <alignment horizontal="left" vertical="center" wrapText="1"/>
    </xf>
    <xf numFmtId="0" fontId="0" fillId="0" borderId="4" xfId="0" applyBorder="1"/>
    <xf numFmtId="0" fontId="26" fillId="0" borderId="81" xfId="6" applyFont="1" applyBorder="1" applyAlignment="1">
      <alignment vertical="center" wrapText="1"/>
    </xf>
    <xf numFmtId="0" fontId="29" fillId="0" borderId="0" xfId="6" applyFont="1" applyAlignment="1">
      <alignment vertical="center" wrapText="1"/>
    </xf>
    <xf numFmtId="0" fontId="26" fillId="0" borderId="81" xfId="6" applyFont="1" applyBorder="1" applyAlignment="1">
      <alignment vertical="center"/>
    </xf>
    <xf numFmtId="0" fontId="0" fillId="0" borderId="0" xfId="0" applyAlignment="1">
      <alignment vertical="center"/>
    </xf>
    <xf numFmtId="0" fontId="0" fillId="0" borderId="0" xfId="0" applyAlignment="1">
      <alignment horizontal="left" vertical="center" wrapText="1"/>
    </xf>
    <xf numFmtId="0" fontId="23" fillId="0" borderId="2" xfId="5" applyFont="1" applyBorder="1" applyAlignment="1">
      <alignment horizontal="center" vertical="center" wrapText="1"/>
    </xf>
    <xf numFmtId="0" fontId="23" fillId="0" borderId="9" xfId="5" applyFont="1" applyBorder="1" applyAlignment="1">
      <alignment horizontal="center" vertical="center" wrapText="1"/>
    </xf>
    <xf numFmtId="0" fontId="7" fillId="0" borderId="9" xfId="6" applyBorder="1"/>
    <xf numFmtId="0" fontId="0" fillId="0" borderId="3" xfId="0" applyBorder="1"/>
    <xf numFmtId="0" fontId="24" fillId="0" borderId="80" xfId="5" applyFont="1" applyBorder="1" applyAlignment="1">
      <alignment horizontal="center" vertical="center" wrapText="1"/>
    </xf>
    <xf numFmtId="0" fontId="7" fillId="0" borderId="46" xfId="6" applyBorder="1" applyAlignment="1">
      <alignment vertical="center"/>
    </xf>
    <xf numFmtId="0" fontId="0" fillId="0" borderId="45" xfId="0" applyBorder="1"/>
    <xf numFmtId="0" fontId="24" fillId="0" borderId="81" xfId="5" applyFont="1" applyBorder="1" applyAlignment="1">
      <alignment horizontal="center" vertical="center"/>
    </xf>
    <xf numFmtId="0" fontId="0" fillId="0" borderId="0" xfId="0"/>
    <xf numFmtId="0" fontId="25" fillId="0" borderId="81" xfId="6" applyFont="1" applyBorder="1" applyAlignment="1">
      <alignment vertical="center"/>
    </xf>
    <xf numFmtId="0" fontId="1" fillId="0" borderId="0" xfId="21" applyFont="1"/>
  </cellXfs>
  <cellStyles count="23">
    <cellStyle name="Comma" xfId="1" builtinId="3"/>
    <cellStyle name="Comma 4 3" xfId="12" xr:uid="{3FB0994E-C624-49C7-BA7B-E2941CFBAF18}"/>
    <cellStyle name="Currency" xfId="2" builtinId="4"/>
    <cellStyle name="Currency 2" xfId="15" xr:uid="{6D95043E-7A87-44E9-AE9C-630A11016F58}"/>
    <cellStyle name="Currency 2 2" xfId="18" xr:uid="{FBAE0792-AF7A-4EAD-93BB-86B6ECFF7D94}"/>
    <cellStyle name="Currency 3" xfId="20" xr:uid="{200D089B-EE43-42B2-8C17-2F8B4C18343F}"/>
    <cellStyle name="Currency 4" xfId="7" xr:uid="{7F7EBCF5-457D-40F8-A62B-D1682F48F786}"/>
    <cellStyle name="Currency 5" xfId="22" xr:uid="{92A8A9A3-46FE-4BF8-873E-80FC6F0E2F4B}"/>
    <cellStyle name="Currency_WNevCo Final Draft Plan" xfId="14" xr:uid="{BB2DAF94-EBE0-4BD5-A709-72F11B094CDA}"/>
    <cellStyle name="Hyperlink" xfId="9" builtinId="8"/>
    <cellStyle name="Normal" xfId="0" builtinId="0"/>
    <cellStyle name="Normal 11 2 2" xfId="11" xr:uid="{64F457C8-0130-40AA-AC91-F71FA11E0512}"/>
    <cellStyle name="Normal 2" xfId="4" xr:uid="{556D98CF-471E-4B62-AB91-F839E8CD0B3C}"/>
    <cellStyle name="Normal 2 2" xfId="17" xr:uid="{80BFC7B9-CFAE-4C0E-A317-BD8D88659BE4}"/>
    <cellStyle name="Normal 2 2 2" xfId="19" xr:uid="{127045C5-604A-4358-9EB8-610A3D0F16F1}"/>
    <cellStyle name="Normal 3" xfId="21" xr:uid="{167AF3EA-98FF-43AB-9EA2-E64A801F6791}"/>
    <cellStyle name="Normal 48" xfId="13" xr:uid="{4C29CDD6-426A-4A21-9533-79E7F0344482}"/>
    <cellStyle name="Normal 6" xfId="6" xr:uid="{E2207765-B560-42F0-99D3-D25D082E6510}"/>
    <cellStyle name="Normal 78" xfId="16" xr:uid="{C90FF44E-F5F8-4904-9020-7DD213DE8BC3}"/>
    <cellStyle name="Normal 8" xfId="5" xr:uid="{E76BD2C8-3078-4478-9FCE-A7076BE2A13F}"/>
    <cellStyle name="Normal_WNevCo Final Draft Plan 2" xfId="10" xr:uid="{1CA57662-FF10-4444-B400-892FCA5C57EB}"/>
    <cellStyle name="Percent" xfId="3" builtinId="5"/>
    <cellStyle name="Percent 2" xfId="8" xr:uid="{A49704F0-792D-42BF-89DC-5CBE1954D7ED}"/>
  </cellStyles>
  <dxfs count="0"/>
  <tableStyles count="0" defaultTableStyle="TableStyleMedium2" defaultPivotStyle="PivotStyleLight16"/>
  <colors>
    <mruColors>
      <color rgb="FFE9D9F9"/>
      <color rgb="FF006666"/>
      <color rgb="FF3E4D60"/>
      <color rgb="FF1B327B"/>
      <color rgb="FF43479B"/>
      <color rgb="FF4C12CC"/>
      <color rgb="FFFBA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theme" Target="theme/theme1.xml"/><Relationship Id="rId5" Type="http://schemas.openxmlformats.org/officeDocument/2006/relationships/worksheet" Target="worksheets/sheet5.xml"/><Relationship Id="rId61"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sharedStrings" Target="sharedStrings.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Expenses (FY2024 Budget: $15,498,297)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w="25400">
              <a:noFill/>
            </a:ln>
          </c:spPr>
          <c:dPt>
            <c:idx val="0"/>
            <c:bubble3D val="0"/>
            <c:spPr>
              <a:solidFill>
                <a:schemeClr val="accent1"/>
              </a:solidFill>
              <a:ln w="25400">
                <a:noFill/>
              </a:ln>
              <a:effectLst/>
            </c:spPr>
            <c:extLst>
              <c:ext xmlns:c16="http://schemas.microsoft.com/office/drawing/2014/chart" uri="{C3380CC4-5D6E-409C-BE32-E72D297353CC}">
                <c16:uniqueId val="{00000001-A475-4E63-A85F-79BD0CCB5226}"/>
              </c:ext>
            </c:extLst>
          </c:dPt>
          <c:dPt>
            <c:idx val="1"/>
            <c:bubble3D val="0"/>
            <c:spPr>
              <a:solidFill>
                <a:schemeClr val="accent2"/>
              </a:solidFill>
              <a:ln w="25400">
                <a:noFill/>
              </a:ln>
              <a:effectLst/>
            </c:spPr>
            <c:extLst>
              <c:ext xmlns:c16="http://schemas.microsoft.com/office/drawing/2014/chart" uri="{C3380CC4-5D6E-409C-BE32-E72D297353CC}">
                <c16:uniqueId val="{00000003-A475-4E63-A85F-79BD0CCB5226}"/>
              </c:ext>
            </c:extLst>
          </c:dPt>
          <c:dPt>
            <c:idx val="2"/>
            <c:bubble3D val="0"/>
            <c:spPr>
              <a:solidFill>
                <a:schemeClr val="accent3"/>
              </a:solidFill>
              <a:ln w="25400">
                <a:noFill/>
              </a:ln>
              <a:effectLst/>
            </c:spPr>
            <c:extLst>
              <c:ext xmlns:c16="http://schemas.microsoft.com/office/drawing/2014/chart" uri="{C3380CC4-5D6E-409C-BE32-E72D297353CC}">
                <c16:uniqueId val="{00000005-A475-4E63-A85F-79BD0CCB5226}"/>
              </c:ext>
            </c:extLst>
          </c:dPt>
          <c:dPt>
            <c:idx val="3"/>
            <c:bubble3D val="0"/>
            <c:spPr>
              <a:solidFill>
                <a:schemeClr val="accent4"/>
              </a:solidFill>
              <a:ln w="25400">
                <a:noFill/>
              </a:ln>
              <a:effectLst/>
            </c:spPr>
            <c:extLst>
              <c:ext xmlns:c16="http://schemas.microsoft.com/office/drawing/2014/chart" uri="{C3380CC4-5D6E-409C-BE32-E72D297353CC}">
                <c16:uniqueId val="{00000007-A475-4E63-A85F-79BD0CCB52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'For Slides'!$C$168:$C$171</c:f>
              <c:strCache>
                <c:ptCount val="4"/>
                <c:pt idx="0">
                  <c:v>Killeen</c:v>
                </c:pt>
                <c:pt idx="1">
                  <c:v>Temple</c:v>
                </c:pt>
                <c:pt idx="2">
                  <c:v>Rural</c:v>
                </c:pt>
                <c:pt idx="3">
                  <c:v>Fort Cavazos</c:v>
                </c:pt>
              </c:strCache>
            </c:strRef>
          </c:cat>
          <c:val>
            <c:numRef>
              <c:f>'For Slides'!$D$168:$D$171</c:f>
              <c:numCache>
                <c:formatCode>_("$"* #,##0_);_("$"* \(#,##0\);_("$"* "-"_);_(@_)</c:formatCode>
                <c:ptCount val="4"/>
                <c:pt idx="0">
                  <c:v>0</c:v>
                </c:pt>
                <c:pt idx="1">
                  <c:v>0</c:v>
                </c:pt>
                <c:pt idx="2">
                  <c:v>0</c:v>
                </c:pt>
                <c:pt idx="3">
                  <c:v>0</c:v>
                </c:pt>
              </c:numCache>
            </c:numRef>
          </c:val>
          <c:extLst>
            <c:ext xmlns:c16="http://schemas.microsoft.com/office/drawing/2014/chart" uri="{C3380CC4-5D6E-409C-BE32-E72D297353CC}">
              <c16:uniqueId val="{00000014-2C71-40EF-9A8F-B74E5E72526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Revenues (FY2024 Budget: $16,193,491)</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87-4629-89C9-34387A02E9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87-4629-89C9-34387A02E9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87-4629-89C9-34387A02E9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87-4629-89C9-34387A02E9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587-4629-89C9-34387A02E9E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587-4629-89C9-34387A02E9E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587-4629-89C9-34387A02E9E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587-4629-89C9-34387A02E9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'For Slides'!$S$47:$S$54</c:f>
              <c:strCache>
                <c:ptCount val="8"/>
                <c:pt idx="0">
                  <c:v>Federal Grant Revenue</c:v>
                </c:pt>
                <c:pt idx="1">
                  <c:v>State Grant Revenue</c:v>
                </c:pt>
                <c:pt idx="2">
                  <c:v>Urban Medicaid Revenue</c:v>
                </c:pt>
                <c:pt idx="3">
                  <c:v>Fare Revenue</c:v>
                </c:pt>
                <c:pt idx="4">
                  <c:v>Urban Local</c:v>
                </c:pt>
                <c:pt idx="5">
                  <c:v>Rural Medicaid Revenue</c:v>
                </c:pt>
                <c:pt idx="6">
                  <c:v>Rural Local</c:v>
                </c:pt>
                <c:pt idx="7">
                  <c:v>Fort Cavazos</c:v>
                </c:pt>
              </c:strCache>
            </c:strRef>
          </c:cat>
          <c:val>
            <c:numRef>
              <c:f>'For Slides'!$T$47:$T$54</c:f>
              <c:numCache>
                <c:formatCode>_([$$-409]* #,##0_);_([$$-409]* \(#,##0\);_([$$-409]* "-"_);_(@_)</c:formatCode>
                <c:ptCount val="8"/>
                <c:pt idx="0">
                  <c:v>6664398</c:v>
                </c:pt>
                <c:pt idx="1">
                  <c:v>1525568</c:v>
                </c:pt>
                <c:pt idx="2">
                  <c:v>1113000</c:v>
                </c:pt>
                <c:pt idx="3">
                  <c:v>688851.2</c:v>
                </c:pt>
                <c:pt idx="4">
                  <c:v>1173772.0823938223</c:v>
                </c:pt>
                <c:pt idx="5">
                  <c:v>242661</c:v>
                </c:pt>
                <c:pt idx="6">
                  <c:v>543841</c:v>
                </c:pt>
                <c:pt idx="7">
                  <c:v>4241400</c:v>
                </c:pt>
              </c:numCache>
            </c:numRef>
          </c:val>
          <c:extLst>
            <c:ext xmlns:c16="http://schemas.microsoft.com/office/drawing/2014/chart" uri="{C3380CC4-5D6E-409C-BE32-E72D297353CC}">
              <c16:uniqueId val="{00000004-01D0-4874-A458-CC7D1E540E3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523875</xdr:colOff>
      <xdr:row>164</xdr:row>
      <xdr:rowOff>123825</xdr:rowOff>
    </xdr:from>
    <xdr:to>
      <xdr:col>11</xdr:col>
      <xdr:colOff>866775</xdr:colOff>
      <xdr:row>180</xdr:row>
      <xdr:rowOff>9525</xdr:rowOff>
    </xdr:to>
    <xdr:graphicFrame macro="">
      <xdr:nvGraphicFramePr>
        <xdr:cNvPr id="3" name="Chart 2">
          <a:extLst>
            <a:ext uri="{FF2B5EF4-FFF2-40B4-BE49-F238E27FC236}">
              <a16:creationId xmlns:a16="http://schemas.microsoft.com/office/drawing/2014/main" id="{EDC2C19A-94B4-2D86-5C98-643295F09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95250</xdr:colOff>
      <xdr:row>45</xdr:row>
      <xdr:rowOff>9525</xdr:rowOff>
    </xdr:from>
    <xdr:to>
      <xdr:col>28</xdr:col>
      <xdr:colOff>314325</xdr:colOff>
      <xdr:row>66</xdr:row>
      <xdr:rowOff>171450</xdr:rowOff>
    </xdr:to>
    <xdr:graphicFrame macro="">
      <xdr:nvGraphicFramePr>
        <xdr:cNvPr id="4" name="Chart 3">
          <a:extLst>
            <a:ext uri="{FF2B5EF4-FFF2-40B4-BE49-F238E27FC236}">
              <a16:creationId xmlns:a16="http://schemas.microsoft.com/office/drawing/2014/main" id="{0C42C68D-64CB-4946-A764-226B8D82B5CC}"/>
            </a:ext>
            <a:ext uri="{147F2762-F138-4A5C-976F-8EAC2B608ADB}">
              <a16:predDERef xmlns:a16="http://schemas.microsoft.com/office/drawing/2014/main" pred="{EDC2C19A-94B4-2D86-5C98-643295F09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295275</xdr:colOff>
      <xdr:row>2</xdr:row>
      <xdr:rowOff>57150</xdr:rowOff>
    </xdr:from>
    <xdr:to>
      <xdr:col>34</xdr:col>
      <xdr:colOff>352501</xdr:colOff>
      <xdr:row>38</xdr:row>
      <xdr:rowOff>133398</xdr:rowOff>
    </xdr:to>
    <xdr:pic>
      <xdr:nvPicPr>
        <xdr:cNvPr id="3" name="Picture 2">
          <a:extLst>
            <a:ext uri="{FF2B5EF4-FFF2-40B4-BE49-F238E27FC236}">
              <a16:creationId xmlns:a16="http://schemas.microsoft.com/office/drawing/2014/main" id="{D80E31F5-C5C6-04A2-1CA0-EC821E6949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53875" y="419100"/>
          <a:ext cx="10420426" cy="6591348"/>
        </a:xfrm>
        <a:prstGeom prst="rect">
          <a:avLst/>
        </a:prstGeom>
      </xdr:spPr>
    </xdr:pic>
    <xdr:clientData/>
  </xdr:twoCellAnchor>
  <xdr:twoCellAnchor>
    <xdr:from>
      <xdr:col>1</xdr:col>
      <xdr:colOff>516712</xdr:colOff>
      <xdr:row>2</xdr:row>
      <xdr:rowOff>126187</xdr:rowOff>
    </xdr:from>
    <xdr:to>
      <xdr:col>18</xdr:col>
      <xdr:colOff>159603</xdr:colOff>
      <xdr:row>42</xdr:row>
      <xdr:rowOff>121478</xdr:rowOff>
    </xdr:to>
    <xdr:pic>
      <xdr:nvPicPr>
        <xdr:cNvPr id="5" name="Picture 4">
          <a:extLst>
            <a:ext uri="{FF2B5EF4-FFF2-40B4-BE49-F238E27FC236}">
              <a16:creationId xmlns:a16="http://schemas.microsoft.com/office/drawing/2014/main" id="{65C9E3FE-A138-B945-A0FA-3F3EAB088C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412" y="488137"/>
          <a:ext cx="10653791" cy="72342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xdr:colOff>
      <xdr:row>1</xdr:row>
      <xdr:rowOff>129390</xdr:rowOff>
    </xdr:from>
    <xdr:to>
      <xdr:col>17</xdr:col>
      <xdr:colOff>634999</xdr:colOff>
      <xdr:row>21</xdr:row>
      <xdr:rowOff>87314</xdr:rowOff>
    </xdr:to>
    <xdr:pic>
      <xdr:nvPicPr>
        <xdr:cNvPr id="2" name="Picture 1">
          <a:extLst>
            <a:ext uri="{FF2B5EF4-FFF2-40B4-BE49-F238E27FC236}">
              <a16:creationId xmlns:a16="http://schemas.microsoft.com/office/drawing/2014/main" id="{300A5F8C-0E7C-BB36-AE20-13CC205959D5}"/>
            </a:ext>
          </a:extLst>
        </xdr:cNvPr>
        <xdr:cNvPicPr>
          <a:picLocks noChangeAspect="1"/>
        </xdr:cNvPicPr>
      </xdr:nvPicPr>
      <xdr:blipFill>
        <a:blip xmlns:r="http://schemas.openxmlformats.org/officeDocument/2006/relationships" r:embed="rId1"/>
        <a:stretch>
          <a:fillRect/>
        </a:stretch>
      </xdr:blipFill>
      <xdr:spPr>
        <a:xfrm>
          <a:off x="2" y="311953"/>
          <a:ext cx="11632404" cy="3787768"/>
        </a:xfrm>
        <a:prstGeom prst="rect">
          <a:avLst/>
        </a:prstGeom>
      </xdr:spPr>
    </xdr:pic>
    <xdr:clientData/>
  </xdr:twoCellAnchor>
  <xdr:twoCellAnchor editAs="oneCell">
    <xdr:from>
      <xdr:col>10</xdr:col>
      <xdr:colOff>3840</xdr:colOff>
      <xdr:row>21</xdr:row>
      <xdr:rowOff>156683</xdr:rowOff>
    </xdr:from>
    <xdr:to>
      <xdr:col>17</xdr:col>
      <xdr:colOff>88968</xdr:colOff>
      <xdr:row>29</xdr:row>
      <xdr:rowOff>66312</xdr:rowOff>
    </xdr:to>
    <xdr:pic>
      <xdr:nvPicPr>
        <xdr:cNvPr id="3" name="Picture 2">
          <a:extLst>
            <a:ext uri="{FF2B5EF4-FFF2-40B4-BE49-F238E27FC236}">
              <a16:creationId xmlns:a16="http://schemas.microsoft.com/office/drawing/2014/main" id="{CF895910-B111-2B60-AD9B-0B5E2EA13599}"/>
            </a:ext>
          </a:extLst>
        </xdr:cNvPr>
        <xdr:cNvPicPr>
          <a:picLocks noChangeAspect="1"/>
        </xdr:cNvPicPr>
      </xdr:nvPicPr>
      <xdr:blipFill>
        <a:blip xmlns:r="http://schemas.openxmlformats.org/officeDocument/2006/relationships" r:embed="rId2"/>
        <a:stretch>
          <a:fillRect/>
        </a:stretch>
      </xdr:blipFill>
      <xdr:spPr>
        <a:xfrm>
          <a:off x="6494667" y="4139516"/>
          <a:ext cx="4628707" cy="1409116"/>
        </a:xfrm>
        <a:prstGeom prst="rect">
          <a:avLst/>
        </a:prstGeom>
      </xdr:spPr>
    </xdr:pic>
    <xdr:clientData/>
  </xdr:twoCellAnchor>
  <xdr:twoCellAnchor editAs="oneCell">
    <xdr:from>
      <xdr:col>10</xdr:col>
      <xdr:colOff>171242</xdr:colOff>
      <xdr:row>29</xdr:row>
      <xdr:rowOff>168992</xdr:rowOff>
    </xdr:from>
    <xdr:to>
      <xdr:col>16</xdr:col>
      <xdr:colOff>591258</xdr:colOff>
      <xdr:row>36</xdr:row>
      <xdr:rowOff>163809</xdr:rowOff>
    </xdr:to>
    <xdr:pic>
      <xdr:nvPicPr>
        <xdr:cNvPr id="5" name="Picture 4">
          <a:extLst>
            <a:ext uri="{FF2B5EF4-FFF2-40B4-BE49-F238E27FC236}">
              <a16:creationId xmlns:a16="http://schemas.microsoft.com/office/drawing/2014/main" id="{A7A9D2CC-BD84-9ABA-CD20-D43278F6E4AB}"/>
            </a:ext>
          </a:extLst>
        </xdr:cNvPr>
        <xdr:cNvPicPr>
          <a:picLocks noChangeAspect="1"/>
        </xdr:cNvPicPr>
      </xdr:nvPicPr>
      <xdr:blipFill>
        <a:blip xmlns:r="http://schemas.openxmlformats.org/officeDocument/2006/relationships" r:embed="rId3"/>
        <a:stretch>
          <a:fillRect/>
        </a:stretch>
      </xdr:blipFill>
      <xdr:spPr>
        <a:xfrm>
          <a:off x="6662069" y="5615141"/>
          <a:ext cx="4314512" cy="12584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16</xdr:col>
      <xdr:colOff>428694</xdr:colOff>
      <xdr:row>33</xdr:row>
      <xdr:rowOff>66715</xdr:rowOff>
    </xdr:to>
    <xdr:pic>
      <xdr:nvPicPr>
        <xdr:cNvPr id="3" name="Picture 2">
          <a:extLst>
            <a:ext uri="{FF2B5EF4-FFF2-40B4-BE49-F238E27FC236}">
              <a16:creationId xmlns:a16="http://schemas.microsoft.com/office/drawing/2014/main" id="{96E73666-3129-0AF9-E64E-E65D130D074D}"/>
            </a:ext>
          </a:extLst>
        </xdr:cNvPr>
        <xdr:cNvPicPr>
          <a:picLocks noChangeAspect="1"/>
        </xdr:cNvPicPr>
      </xdr:nvPicPr>
      <xdr:blipFill>
        <a:blip xmlns:r="http://schemas.openxmlformats.org/officeDocument/2006/relationships" r:embed="rId1"/>
        <a:stretch>
          <a:fillRect/>
        </a:stretch>
      </xdr:blipFill>
      <xdr:spPr>
        <a:xfrm>
          <a:off x="1295400" y="542925"/>
          <a:ext cx="9496494" cy="5495965"/>
        </a:xfrm>
        <a:prstGeom prst="rect">
          <a:avLst/>
        </a:prstGeom>
      </xdr:spPr>
    </xdr:pic>
    <xdr:clientData/>
  </xdr:twoCellAnchor>
  <xdr:twoCellAnchor editAs="oneCell">
    <xdr:from>
      <xdr:col>2</xdr:col>
      <xdr:colOff>104775</xdr:colOff>
      <xdr:row>34</xdr:row>
      <xdr:rowOff>0</xdr:rowOff>
    </xdr:from>
    <xdr:to>
      <xdr:col>16</xdr:col>
      <xdr:colOff>123891</xdr:colOff>
      <xdr:row>54</xdr:row>
      <xdr:rowOff>57177</xdr:rowOff>
    </xdr:to>
    <xdr:pic>
      <xdr:nvPicPr>
        <xdr:cNvPr id="5" name="Picture 4">
          <a:extLst>
            <a:ext uri="{FF2B5EF4-FFF2-40B4-BE49-F238E27FC236}">
              <a16:creationId xmlns:a16="http://schemas.microsoft.com/office/drawing/2014/main" id="{61B8567E-380D-BBE4-F36A-3308D6975806}"/>
            </a:ext>
          </a:extLst>
        </xdr:cNvPr>
        <xdr:cNvPicPr>
          <a:picLocks noChangeAspect="1"/>
        </xdr:cNvPicPr>
      </xdr:nvPicPr>
      <xdr:blipFill>
        <a:blip xmlns:r="http://schemas.openxmlformats.org/officeDocument/2006/relationships" r:embed="rId2"/>
        <a:stretch>
          <a:fillRect/>
        </a:stretch>
      </xdr:blipFill>
      <xdr:spPr>
        <a:xfrm>
          <a:off x="1400175" y="6153150"/>
          <a:ext cx="9086916" cy="3676677"/>
        </a:xfrm>
        <a:prstGeom prst="rect">
          <a:avLst/>
        </a:prstGeom>
      </xdr:spPr>
    </xdr:pic>
    <xdr:clientData/>
  </xdr:twoCellAnchor>
  <xdr:twoCellAnchor editAs="oneCell">
    <xdr:from>
      <xdr:col>2</xdr:col>
      <xdr:colOff>119063</xdr:colOff>
      <xdr:row>54</xdr:row>
      <xdr:rowOff>134685</xdr:rowOff>
    </xdr:from>
    <xdr:to>
      <xdr:col>15</xdr:col>
      <xdr:colOff>242888</xdr:colOff>
      <xdr:row>66</xdr:row>
      <xdr:rowOff>85740</xdr:rowOff>
    </xdr:to>
    <xdr:pic>
      <xdr:nvPicPr>
        <xdr:cNvPr id="6" name="Picture 5">
          <a:extLst>
            <a:ext uri="{FF2B5EF4-FFF2-40B4-BE49-F238E27FC236}">
              <a16:creationId xmlns:a16="http://schemas.microsoft.com/office/drawing/2014/main" id="{D81407F4-E9B0-08DE-FD7E-585A684F3DA0}"/>
            </a:ext>
          </a:extLst>
        </xdr:cNvPr>
        <xdr:cNvPicPr>
          <a:picLocks noChangeAspect="1"/>
        </xdr:cNvPicPr>
      </xdr:nvPicPr>
      <xdr:blipFill>
        <a:blip xmlns:r="http://schemas.openxmlformats.org/officeDocument/2006/relationships" r:embed="rId3"/>
        <a:stretch>
          <a:fillRect/>
        </a:stretch>
      </xdr:blipFill>
      <xdr:spPr>
        <a:xfrm>
          <a:off x="1414463" y="9907335"/>
          <a:ext cx="8543925" cy="21227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538163</xdr:colOff>
      <xdr:row>0</xdr:row>
      <xdr:rowOff>0</xdr:rowOff>
    </xdr:from>
    <xdr:ext cx="10458526" cy="6705601"/>
    <xdr:pic>
      <xdr:nvPicPr>
        <xdr:cNvPr id="2" name="Picture 1">
          <a:extLst>
            <a:ext uri="{FF2B5EF4-FFF2-40B4-BE49-F238E27FC236}">
              <a16:creationId xmlns:a16="http://schemas.microsoft.com/office/drawing/2014/main" id="{42EBCA10-0BAC-49CF-8AAB-D100B23EB010}"/>
            </a:ext>
          </a:extLst>
        </xdr:cNvPr>
        <xdr:cNvPicPr>
          <a:picLocks noChangeAspect="1"/>
        </xdr:cNvPicPr>
      </xdr:nvPicPr>
      <xdr:blipFill>
        <a:blip xmlns:r="http://schemas.openxmlformats.org/officeDocument/2006/relationships" r:embed="rId1"/>
        <a:stretch>
          <a:fillRect/>
        </a:stretch>
      </xdr:blipFill>
      <xdr:spPr>
        <a:xfrm>
          <a:off x="538163" y="0"/>
          <a:ext cx="10458526" cy="670560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C:\Users\Gordon\AppData\Local\Microsoft\Windows\Temporary%20Internet%20Files\Content.Outlook\8X8D61CC\Documents%20and%20Settings\Selena\My%20Documents\LSC\Projects\South%20County%20Transit%20Plan\data%20files\Operating\Aug%2009%20daily%20riders%20and%20miles%20sjm.xls?3D1A686C" TargetMode="External"/><Relationship Id="rId1" Type="http://schemas.openxmlformats.org/officeDocument/2006/relationships/externalLinkPath" Target="file:///\\3D1A686C\Aug%2009%20daily%20riders%20and%20miles%20sj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Amador%20TDP\Data\Amador%20Draft%20Pla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DOCUME~1\ADMINI~1\LOCALS~1\Temp\EST99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Amador%20TDP/Data/Amador%20Draft%20Pl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DOCUME~1/ADMINI~1/LOCALS~1/Temp/EST99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Amador%202008%20TDP%20and%20Design%20Manual/Spreadsheets/Amador%202008%20TDP%20TM1%20Table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Amador%202008%20TDP%20and%20Design%20Manual/Spreadsheets/ARTS%2006-07%20BUDGET%20and%20Cost%20Mode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Departmental%20Budgets\Budget%20Graph\Revenues\Transit%20Revenu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Users/Gordon/AppData/Local/Microsoft/Windows/Temporary%20Internet%20Files/Content.Outlook/8X8D61CC/Amador%20TDP/Data/Amador%20Draft%20Pl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Users/Gordon/AppData/Local/Microsoft/Windows/Temporary%20Internet%20Files/Content.Outlook/8X8D61CC/Amador%202008%20TDP%20and%20Design%20Manual/Spreadsheets/Amador%202008%20TDP%20TM1%20Tabl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Users/Gordon/AppData/Local/Microsoft/Windows/Temporary%20Internet%20Files/Content.Outlook/8X8D61CC/Amador%202008%20TDP%20and%20Design%20Manual/Spreadsheets/ARTS%2006-07%20BUDGET%20and%20Cost%20Mode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Users/Gordon/AppData/Local/Microsoft/Windows/Temporary%20Internet%20Files/Content.Outlook/8X8D61CC/DOCUME~1/ADMINI~1/LOCALS~1/Temp/EST990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Amador%20TDP\Data\Amador%20Draft%20Pla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OCUME~1\ADMINI~1\LOCALS~1\Temp\EST990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Amador%202008%20TDP%20and%20Design%20Manual\Spreadsheets\Amador%202008%20TDP%20TM1%20Tab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Amador%202008%20TDP%20and%20Design%20Manual\Spreadsheets\ARTS%2006-07%20BUDGET%20and%20Cost%20Mod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erver\Share\Users\John\Documents\Finance\Budgets\09-10\Revised%20ESTA%20Budget%20v-011709.xls" TargetMode="External"/></Relationships>
</file>

<file path=xl/externalLinks/_rels/externalLink18.xml.rels><?xml version="1.0" encoding="UTF-8" standalone="yes"?>
<Relationships xmlns="http://schemas.openxmlformats.org/package/2006/relationships"><Relationship Id="rId3" Type="http://schemas.openxmlformats.org/officeDocument/2006/relationships/externalLinkPath" Target="../../../../../../Shared%20drives/Planning%20Active%20Projects/Shasta%20Region%20Coordinated%20Plan%20-%20P236140/Outreach/Transportation%20Service%20Agency%20Survey/Data/Shasta%20CTP-%20TSA%20Survey%20Results.xlsx" TargetMode="External"/><Relationship Id="rId2" Type="http://schemas.openxmlformats.org/officeDocument/2006/relationships/externalLinkPath" Target="file:///G:\Shared%20drives\Planning%20Active%20Projects\Shasta%20Region%20Coordinated%20Plan%20-%20P236140\Outreach\Transportation%20Service%20Agency%20Survey\Data\Shasta%20CTP-%20TSA%20Survey%20Results.xlsx" TargetMode="External"/><Relationship Id="rId1" Type="http://schemas.openxmlformats.org/officeDocument/2006/relationships/externalLinkPath" Target="/Shared%20drives/Planning%20Active%20Projects/Shasta%20Region%20Coordinated%20Plan%20-%20P236140/Outreach/Transportation%20Service%20Agency%20Survey/Data/Shasta%20CTP-%20TSA%20Survey%20Results.xlsx"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INVOICE1" TargetMode="External"/></Relationships>
</file>

<file path=xl/externalLinks/_rels/externalLink20.xml.rels><?xml version="1.0" encoding="UTF-8" standalone="yes"?>
<Relationships xmlns="http://schemas.openxmlformats.org/package/2006/relationships"><Relationship Id="rId3" Type="http://schemas.openxmlformats.org/officeDocument/2006/relationships/externalLinkPath" Target="../../../../../../Shared%20drives/Planning%20Active%20Projects/Truckee%20Microtransit%20Study%20-%20P226050/Truckee%20Microtransit%20Study.xlsx" TargetMode="External"/><Relationship Id="rId2" Type="http://schemas.openxmlformats.org/officeDocument/2006/relationships/externalLinkPath" Target="file:///G:\Shared%20drives\Planning%20Active%20Projects\Truckee%20Microtransit%20Study%20-%20P226050\Truckee%20Microtransit%20Study.xlsx" TargetMode="External"/><Relationship Id="rId1" Type="http://schemas.openxmlformats.org/officeDocument/2006/relationships/externalLinkPath" Target="/Shared%20drives/Planning%20Active%20Projects/Truckee%20Microtransit%20Study%20-%20P226050/Truckee%20Microtransit%20Study.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Maroon%20Creek\data\MCC%20Final%20Report%20Table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Documents%20and%20Settings\JBelanger\Local%20Settings\Temporary%20Internet%20Files\OLK249\Placer%20SRTP03%20TM2%20back-up%20data.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X:\Blue%20Office\TIRCP%20Coordinator\Program%20Allocation%20Plans\2023\07%20December\4.30%20TIRCP-%20December%202023%20Program%20Allocation%20Plan%209-29-2023_Draf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T:\DPW\TRANSIT\Budget\Budget%2021_22\Budgetjw2022.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Placer%20County%20SRTPs%202003\Data\PCT%20FY04-05%20Budget%20Back-Up%20Data.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Geographic%20Library\Tahoe%20Regionwide\TRPA\TRPA%20Data\Summer%202006%20Visitor%20Survey%20Dat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Users\Gordon\AppData\Local\Microsoft\Windows\Temporary%20Internet%20Files\Content.Outlook\8X8D61CC\Documents%20and%20Settings\eguillot\Local%20Settings\Temporary%20Internet%20Files\OLK53\SCAT%20Ridership%20July%209-10%20IN.xls" TargetMode="External"/></Relationships>
</file>

<file path=xl/externalLinks/_rels/externalLink28.xml.rels><?xml version="1.0" encoding="UTF-8" standalone="yes"?>
<Relationships xmlns="http://schemas.openxmlformats.org/package/2006/relationships"><Relationship Id="rId2" Type="http://schemas.microsoft.com/office/2019/04/relationships/externalLinkLongPath" Target="file:///C:\Users\Gordon\AppData\Local\Microsoft\Windows\Temporary%20Internet%20Files\Content.Outlook\8X8D61CC\Documents%20and%20Settings\Selena\My%20Documents\Selena's\LSC\Projects\Lassen\Background\old%20reports\Placer%20SRTP03%20TM2%20back-up%20data.xls?FD4AD547" TargetMode="External"/><Relationship Id="rId1" Type="http://schemas.openxmlformats.org/officeDocument/2006/relationships/externalLinkPath" Target="file:///\\FD4AD547\Placer%20SRTP03%20TM2%20back-up%20data.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Shared%20drives/Planning%20Active%20Projects/ESTA%202021%20SRTP%20CHSP%20-%20T217200/Spreadsheets/NTD%20Vehicle%20expenses%202019.xlsm" TargetMode="External"/><Relationship Id="rId1" Type="http://schemas.openxmlformats.org/officeDocument/2006/relationships/externalLinkPath" Target="/Shared%20drives/Planning%20Active%20Projects/ESTA%202021%20SRTP%20CHSP%20-%20T217200/Spreadsheets/NTD%20Vehicle%20expenses%202019.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Users\Gordon\AppData\Local\Microsoft\Windows\Temporary%20Internet%20Files\Content.Outlook\8X8D61CC\Documents%20and%20Settings\GM\My%20Documents\Reports\Monthly\Div__160_Monthly_Report_201001.xls" TargetMode="External"/></Relationships>
</file>

<file path=xl/externalLinks/_rels/externalLink31.xml.rels><?xml version="1.0" encoding="UTF-8" standalone="yes"?>
<Relationships xmlns="http://schemas.openxmlformats.org/package/2006/relationships"><Relationship Id="rId3" Type="http://schemas.openxmlformats.org/officeDocument/2006/relationships/externalLinkPath" Target="../../../../../../Shared%20drives/Planning%20Active%20Projects/TRPA%20COA%202025/Text/COA%20Alternatives/Service%20Alternatives%20Cost%20Estimates%20LSC.xlsx" TargetMode="External"/><Relationship Id="rId2" Type="http://schemas.openxmlformats.org/officeDocument/2006/relationships/externalLinkPath" Target="file:///G:\Shared%20drives\Planning%20Active%20Projects\TRPA%20COA%202025\Text\COA%20Alternatives\Service%20Alternatives%20Cost%20Estimates%20LSC.xlsx" TargetMode="External"/><Relationship Id="rId1" Type="http://schemas.openxmlformats.org/officeDocument/2006/relationships/externalLinkPath" Target="/Shared%20drives/Planning%20Active%20Projects/TRPA%20COA%202025/Text/COA%20Alternatives/Service%20Alternatives%20Cost%20Estimates%20LSC.xlsx"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file:///G:\Shared%20drives\Planning%20Active%20Projects\TRPA%20COA%202025\Spreadsheets\Existing%20Conditions%20Demographics%20Operations.xlsx" TargetMode="External"/><Relationship Id="rId1" Type="http://schemas.openxmlformats.org/officeDocument/2006/relationships/externalLinkPath" Target="Existing%20Conditions%20Demographics%20Oper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4"/>
      <sheetName val="5"/>
      <sheetName val="6"/>
      <sheetName val="7"/>
      <sheetName val="10"/>
      <sheetName val="11"/>
      <sheetName val="12"/>
      <sheetName val="13"/>
      <sheetName val="14"/>
      <sheetName val="17"/>
      <sheetName val="18"/>
      <sheetName val="19"/>
      <sheetName val="20"/>
      <sheetName val="21"/>
      <sheetName val="24"/>
      <sheetName val="25"/>
      <sheetName val="26"/>
      <sheetName val="27"/>
      <sheetName val="28"/>
      <sheetName val="31"/>
      <sheetName val="SUM"/>
      <sheetName val="U"/>
      <sheetName val="W"/>
      <sheetName val="Sat 1"/>
      <sheetName val="Sat 8"/>
      <sheetName val="Sat 15"/>
      <sheetName val="Sat 22"/>
      <sheetName val="Sat 29"/>
      <sheetName val="Sun 2"/>
      <sheetName val="Sun 9"/>
      <sheetName val="Sun 16"/>
      <sheetName val="Sun 23"/>
      <sheetName val="Sun 30"/>
      <sheetName val="RT 21"/>
      <sheetName val="RT 21 SAT"/>
      <sheetName val="RT 21 SUN"/>
      <sheetName val="RT 23"/>
      <sheetName val="RT 23 SAT"/>
      <sheetName val="RT 23 SUN"/>
      <sheetName val="RT 24"/>
      <sheetName val="RT 24 SAT"/>
      <sheetName val="RT 24 SUN"/>
      <sheetName val="RT 25"/>
      <sheetName val="WEEKDAY"/>
      <sheetName val="SATURDAY"/>
      <sheetName val="SUNDAY"/>
      <sheetName val="MILEAGE SUM"/>
      <sheetName val="AVILA"/>
      <sheetName val="LOPE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Traffic"/>
      <sheetName val="T4 Pop Proj"/>
      <sheetName val="T5 Pop Char"/>
      <sheetName val="T6 Mode to Work"/>
      <sheetName val="T7 Commuter Flow"/>
      <sheetName val="Figs 7 &amp; 8"/>
      <sheetName val="T8 School"/>
      <sheetName val="T9 Perf Ind"/>
      <sheetName val="F10 to F16 Perf Graphs"/>
      <sheetName val="T10 MM RM P Px"/>
      <sheetName val="T11 I C V Px"/>
      <sheetName val="T12 Misc Px"/>
      <sheetName val="F17 &amp; F18 Pax by rte &amp; run"/>
      <sheetName val="T13 Px by Type"/>
      <sheetName val="RideSum"/>
      <sheetName val="T14 Fleet"/>
      <sheetName val="T15 Rev by Source"/>
      <sheetName val="T16 Revenue"/>
      <sheetName val="T17 Expense"/>
      <sheetName val="T18 Providers"/>
      <sheetName val="T19 SS Providers"/>
      <sheetName val="T20 Emp Demand"/>
      <sheetName val="T21 Non-Prog Demand"/>
      <sheetName val="T22 Prog Demand"/>
      <sheetName val="T23 Demand Summary"/>
      <sheetName val="T24 Alts"/>
      <sheetName val="F19 Route Platform"/>
      <sheetName val="T25 AltPerf"/>
      <sheetName val="F20 to F24 Alt Perf Graphs"/>
      <sheetName val="T26 to T30 Plan Tables"/>
      <sheetName val="FY03-04 Budget"/>
      <sheetName val="FY02-03 Ridership"/>
      <sheetName val="Route X ridership history"/>
      <sheetName val="Elasticity"/>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Intercity"/>
      <sheetName val="Rancheria Px"/>
      <sheetName val="hist pop"/>
      <sheetName val=" Hist Pop"/>
      <sheetName val="F20 Route Plat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refreshError="1"/>
      <sheetData sheetId="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s>
    <sheetDataSet>
      <sheetData sheetId="0"/>
      <sheetData sheetId="1"/>
      <sheetData sheetId="2"/>
      <sheetData sheetId="3"/>
      <sheetData sheetId="4"/>
      <sheetData sheetId="5"/>
      <sheetData sheetId="6"/>
      <sheetData sheetId="7"/>
      <sheetData sheetId="8"/>
      <sheetData sheetId="9"/>
      <sheetData sheetId="10" refreshError="1">
        <row r="4">
          <cell r="E4">
            <v>298662.64000000007</v>
          </cell>
        </row>
        <row r="5">
          <cell r="E5">
            <v>6906.7</v>
          </cell>
        </row>
        <row r="6">
          <cell r="E6">
            <v>3491.2999999999997</v>
          </cell>
        </row>
        <row r="7">
          <cell r="E7">
            <v>19786.96</v>
          </cell>
        </row>
        <row r="8">
          <cell r="E8">
            <v>1516.52</v>
          </cell>
        </row>
        <row r="9">
          <cell r="E9">
            <v>19739.2</v>
          </cell>
        </row>
        <row r="10">
          <cell r="E10">
            <v>81</v>
          </cell>
        </row>
        <row r="11">
          <cell r="E11">
            <v>350184.32</v>
          </cell>
        </row>
        <row r="14">
          <cell r="E14">
            <v>3784.5</v>
          </cell>
        </row>
        <row r="15">
          <cell r="E15">
            <v>969.61</v>
          </cell>
        </row>
        <row r="16">
          <cell r="E16">
            <v>19134</v>
          </cell>
        </row>
        <row r="17">
          <cell r="E17">
            <v>52648.100000000006</v>
          </cell>
        </row>
        <row r="18">
          <cell r="E18">
            <v>1919.63</v>
          </cell>
        </row>
        <row r="19">
          <cell r="E19">
            <v>2221.67</v>
          </cell>
        </row>
        <row r="20">
          <cell r="E20">
            <v>9948.840000000002</v>
          </cell>
        </row>
        <row r="21">
          <cell r="E21">
            <v>600</v>
          </cell>
        </row>
        <row r="22">
          <cell r="E22">
            <v>3604.99</v>
          </cell>
        </row>
        <row r="23">
          <cell r="E23">
            <v>38.590000000000003</v>
          </cell>
        </row>
        <row r="24">
          <cell r="E24">
            <v>1332</v>
          </cell>
        </row>
        <row r="25">
          <cell r="E25">
            <v>2928.8300000000004</v>
          </cell>
        </row>
        <row r="26">
          <cell r="E26">
            <v>34985.03</v>
          </cell>
        </row>
        <row r="27">
          <cell r="E27">
            <v>4585.97</v>
          </cell>
        </row>
        <row r="28">
          <cell r="E28">
            <v>138701.76000000001</v>
          </cell>
        </row>
        <row r="30">
          <cell r="E30">
            <v>488886.08</v>
          </cell>
        </row>
        <row r="33">
          <cell r="E33">
            <v>23457.48</v>
          </cell>
        </row>
        <row r="34">
          <cell r="E34">
            <v>2627.9599999999996</v>
          </cell>
        </row>
        <row r="35">
          <cell r="E35">
            <v>0</v>
          </cell>
        </row>
      </sheetData>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Traffic"/>
      <sheetName val="T4 Pop Proj"/>
      <sheetName val="T5 Pop Char"/>
      <sheetName val="T6 Mode to Work"/>
      <sheetName val="T7 Commuter Flow"/>
      <sheetName val="Figs 7 &amp; 8"/>
      <sheetName val="T8 School"/>
      <sheetName val="T9 Perf Ind"/>
      <sheetName val="F10 to F16 Perf Graphs"/>
      <sheetName val="T10 MM RM P Px"/>
      <sheetName val="T11 I C V Px"/>
      <sheetName val="T12 Misc Px"/>
      <sheetName val="F17 &amp; F18 Pax by rte &amp; run"/>
      <sheetName val="T13 Px by Type"/>
      <sheetName val="RideSum"/>
      <sheetName val="T14 Fleet"/>
      <sheetName val="T15 Rev by Source"/>
      <sheetName val="T16 Revenue"/>
      <sheetName val="T17 Expense"/>
      <sheetName val="T18 Providers"/>
      <sheetName val="T19 SS Providers"/>
      <sheetName val="T20 Emp Demand"/>
      <sheetName val="T21 Non-Prog Demand"/>
      <sheetName val="T22 Prog Demand"/>
      <sheetName val="T23 Demand Summary"/>
      <sheetName val="T24 Alts"/>
      <sheetName val="F19 Route Platform"/>
      <sheetName val="T25 AltPerf"/>
      <sheetName val="F20 to F24 Alt Perf Graphs"/>
      <sheetName val="T26 to T30 Plan Tables"/>
      <sheetName val="FY03-04 Budget"/>
      <sheetName val="FY02-03 Ridership"/>
      <sheetName val="Route X ridership history"/>
      <sheetName val="Elasticity"/>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Intercity"/>
      <sheetName val="Rancheria Px"/>
      <sheetName val="hist pop"/>
      <sheetName val=" Hist Pop"/>
      <sheetName val="F20 Route Plat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refreshError="1"/>
      <sheetData sheetId="5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s>
    <sheetDataSet>
      <sheetData sheetId="0"/>
      <sheetData sheetId="1"/>
      <sheetData sheetId="2"/>
      <sheetData sheetId="3"/>
      <sheetData sheetId="4"/>
      <sheetData sheetId="5"/>
      <sheetData sheetId="6"/>
      <sheetData sheetId="7"/>
      <sheetData sheetId="8"/>
      <sheetData sheetId="9"/>
      <sheetData sheetId="10" refreshError="1">
        <row r="4">
          <cell r="E4">
            <v>298662.64000000007</v>
          </cell>
        </row>
        <row r="5">
          <cell r="E5">
            <v>6906.7</v>
          </cell>
        </row>
        <row r="6">
          <cell r="E6">
            <v>3491.2999999999997</v>
          </cell>
        </row>
        <row r="7">
          <cell r="E7">
            <v>19786.96</v>
          </cell>
        </row>
        <row r="8">
          <cell r="E8">
            <v>1516.52</v>
          </cell>
        </row>
        <row r="9">
          <cell r="E9">
            <v>19739.2</v>
          </cell>
        </row>
        <row r="10">
          <cell r="E10">
            <v>81</v>
          </cell>
        </row>
        <row r="11">
          <cell r="E11">
            <v>350184.32</v>
          </cell>
        </row>
        <row r="14">
          <cell r="E14">
            <v>3784.5</v>
          </cell>
        </row>
        <row r="15">
          <cell r="E15">
            <v>969.61</v>
          </cell>
        </row>
        <row r="16">
          <cell r="E16">
            <v>19134</v>
          </cell>
        </row>
        <row r="17">
          <cell r="E17">
            <v>52648.100000000006</v>
          </cell>
        </row>
        <row r="18">
          <cell r="E18">
            <v>1919.63</v>
          </cell>
        </row>
        <row r="19">
          <cell r="E19">
            <v>2221.67</v>
          </cell>
        </row>
        <row r="20">
          <cell r="E20">
            <v>9948.840000000002</v>
          </cell>
        </row>
        <row r="21">
          <cell r="E21">
            <v>600</v>
          </cell>
        </row>
        <row r="22">
          <cell r="E22">
            <v>3604.99</v>
          </cell>
        </row>
        <row r="23">
          <cell r="E23">
            <v>38.590000000000003</v>
          </cell>
        </row>
        <row r="24">
          <cell r="E24">
            <v>1332</v>
          </cell>
        </row>
        <row r="25">
          <cell r="E25">
            <v>2928.8300000000004</v>
          </cell>
        </row>
        <row r="26">
          <cell r="E26">
            <v>34985.03</v>
          </cell>
        </row>
        <row r="27">
          <cell r="E27">
            <v>4585.97</v>
          </cell>
        </row>
        <row r="28">
          <cell r="E28">
            <v>138701.76000000001</v>
          </cell>
        </row>
        <row r="30">
          <cell r="E30">
            <v>488886.08</v>
          </cell>
        </row>
        <row r="33">
          <cell r="E33">
            <v>23457.48</v>
          </cell>
        </row>
        <row r="34">
          <cell r="E34">
            <v>2627.9599999999996</v>
          </cell>
        </row>
        <row r="35">
          <cell r="E35">
            <v>0</v>
          </cell>
        </row>
      </sheetData>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Pop Proj"/>
      <sheetName val="T4 Pop Char"/>
      <sheetName val="T5 Mode to Work"/>
      <sheetName val="T6 Commuter Flow"/>
      <sheetName val="Figs 7 &amp; 8"/>
      <sheetName val="T7 School"/>
      <sheetName val="T8 Res Dev"/>
      <sheetName val="T9 Pop Forecast"/>
      <sheetName val="T10 Model Demographics"/>
      <sheetName val="T11 Ex and Proj Traffic"/>
      <sheetName val="T12 Revenues"/>
      <sheetName val="T13 LTF History"/>
      <sheetName val="Fig10 LTF"/>
      <sheetName val="Fig10 LTF (2)"/>
      <sheetName val="T13 LTF History (2)"/>
      <sheetName val="T14 Cost Model"/>
      <sheetName val="Fig 11 Ann'l Ridership"/>
      <sheetName val="T16 Rdshp by Route &amp; Run"/>
      <sheetName val="T17 Monthly Rdshp "/>
      <sheetName val="T18 Fare Type by Route"/>
      <sheetName val="Fig12 One Way Pax per Hour"/>
      <sheetName val="Fig13 One Way Pax per Mile"/>
      <sheetName val="Fig14 Ann'l Op Costs"/>
      <sheetName val="Fig15 Cost per Pax Trip"/>
      <sheetName val="Fig16 Farebox Ratio"/>
      <sheetName val="Fig17 Subsidy per pax"/>
      <sheetName val="T19 Vehicle Fleet"/>
      <sheetName val="Intercity"/>
      <sheetName val="T20 Emp Demand"/>
      <sheetName val="T21 Non-Prog Demand"/>
      <sheetName val="T22 Prog Demand"/>
      <sheetName val="T23 Demand Summary"/>
      <sheetName val="T24 Chart"/>
      <sheetName val="T24 Long-Range Demand"/>
      <sheetName val="Fig 18 Demand"/>
      <sheetName val="ADA Demand"/>
      <sheetName val="T24 Alts"/>
      <sheetName val="F19 Route Platform"/>
      <sheetName val="T25 AltPerf"/>
      <sheetName val="F20 to F24 Alt Perf Graphs"/>
      <sheetName val="T26 to T30 Plan Tables"/>
      <sheetName val="LongRange"/>
      <sheetName val="FY03-04 Budget"/>
      <sheetName val="FY02-03 Ridership"/>
      <sheetName val="Route X ridership history"/>
      <sheetName val="Elasticity"/>
      <sheetName val="Ann'l Op Costs - Svc Alts"/>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Rancheria Px"/>
      <sheetName val="hist pop"/>
      <sheetName val=" Hist Pop"/>
      <sheetName val="T3 Traffic"/>
      <sheetName val="AMADOR_DEMOGRAPHICS_2000"/>
      <sheetName val="Amador_Demographics_2025"/>
      <sheetName val="T15 Ann'l Op Costs"/>
    </sheetNames>
    <sheetDataSet>
      <sheetData sheetId="0" refreshError="1"/>
      <sheetData sheetId="1" refreshError="1"/>
      <sheetData sheetId="2">
        <row r="15">
          <cell r="F15">
            <v>1.1820268368340603E-2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42">
          <cell r="E42">
            <v>37.73433896473265</v>
          </cell>
        </row>
      </sheetData>
      <sheetData sheetId="18" refreshError="1"/>
      <sheetData sheetId="19">
        <row r="9">
          <cell r="K9">
            <v>28644</v>
          </cell>
        </row>
      </sheetData>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row r="29">
          <cell r="C29">
            <v>221980</v>
          </cell>
        </row>
      </sheetData>
      <sheetData sheetId="45"/>
      <sheetData sheetId="46" refreshError="1"/>
      <sheetData sheetId="47">
        <row r="16">
          <cell r="L16">
            <v>30199</v>
          </cell>
        </row>
      </sheetData>
      <sheetData sheetId="48" refreshError="1"/>
      <sheetData sheetId="49">
        <row r="6">
          <cell r="J6">
            <v>35100</v>
          </cell>
        </row>
      </sheetData>
      <sheetData sheetId="50">
        <row r="31">
          <cell r="B31" t="str">
            <v xml:space="preserve">Amador </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ow r="13">
          <cell r="B13">
            <v>30039</v>
          </cell>
        </row>
      </sheetData>
      <sheetData sheetId="64" refreshError="1"/>
      <sheetData sheetId="65" refreshError="1"/>
      <sheetData sheetId="66" refreshError="1"/>
      <sheetData sheetId="67"/>
      <sheetData sheetId="68">
        <row r="23">
          <cell r="R23">
            <v>7.8753004878877038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 val="Chart1"/>
      <sheetName val="0607 ARTS Revenues"/>
      <sheetName val="LTF History"/>
      <sheetName val="T17 Cost Model"/>
    </sheetNames>
    <sheetDataSet>
      <sheetData sheetId="0"/>
      <sheetData sheetId="1"/>
      <sheetData sheetId="2"/>
      <sheetData sheetId="3"/>
      <sheetData sheetId="4"/>
      <sheetData sheetId="5"/>
      <sheetData sheetId="6"/>
      <sheetData sheetId="7"/>
      <sheetData sheetId="8"/>
      <sheetData sheetId="9"/>
      <sheetData sheetId="10"/>
      <sheetData sheetId="11">
        <row r="4">
          <cell r="E4">
            <v>617674.54</v>
          </cell>
        </row>
        <row r="5">
          <cell r="E5">
            <v>73934.229999999981</v>
          </cell>
        </row>
        <row r="6">
          <cell r="E6">
            <v>6526.2499999999991</v>
          </cell>
        </row>
        <row r="7">
          <cell r="E7">
            <v>24205.639999999996</v>
          </cell>
        </row>
        <row r="8">
          <cell r="E8">
            <v>4299.88</v>
          </cell>
        </row>
        <row r="9">
          <cell r="E9">
            <v>6439.58</v>
          </cell>
        </row>
        <row r="10">
          <cell r="E10">
            <v>60541</v>
          </cell>
        </row>
        <row r="11">
          <cell r="E11">
            <v>5510</v>
          </cell>
        </row>
        <row r="15">
          <cell r="E15">
            <v>5735.6699999999992</v>
          </cell>
        </row>
        <row r="16">
          <cell r="E16">
            <v>1670.29</v>
          </cell>
        </row>
        <row r="17">
          <cell r="E17">
            <v>43225.760000000002</v>
          </cell>
        </row>
        <row r="19">
          <cell r="E19">
            <v>84219.650000000009</v>
          </cell>
        </row>
        <row r="20">
          <cell r="E20">
            <v>4902.7700000000004</v>
          </cell>
        </row>
        <row r="22">
          <cell r="E22">
            <v>31745.279999999999</v>
          </cell>
        </row>
        <row r="23">
          <cell r="E23">
            <v>6300</v>
          </cell>
        </row>
        <row r="24">
          <cell r="E24">
            <v>9366.369999999999</v>
          </cell>
        </row>
        <row r="25">
          <cell r="E25">
            <v>2903.95</v>
          </cell>
        </row>
        <row r="26">
          <cell r="E26">
            <v>1512.6</v>
          </cell>
        </row>
        <row r="27">
          <cell r="E27">
            <v>2764.5499999999997</v>
          </cell>
        </row>
        <row r="28">
          <cell r="E28">
            <v>94633.099999999991</v>
          </cell>
        </row>
        <row r="29">
          <cell r="E29">
            <v>11637.52</v>
          </cell>
        </row>
      </sheetData>
      <sheetData sheetId="12" refreshError="1"/>
      <sheetData sheetId="13"/>
      <sheetData sheetId="14">
        <row r="5">
          <cell r="D5" t="str">
            <v>ARTS</v>
          </cell>
        </row>
      </sheetData>
      <sheetData sheetId="15">
        <row r="37">
          <cell r="E37">
            <v>262339.15760000004</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Month By Month"/>
      <sheetName val="Budget Graph"/>
      <sheetName val="Code List"/>
      <sheetName val="Summary"/>
      <sheetName val="Table Data FY09"/>
      <sheetName val="Table Data FY08"/>
      <sheetName val="Budget Pivot"/>
      <sheetName val="Monthly Bud"/>
      <sheetName val="Sheet1"/>
    </sheetNames>
    <sheetDataSet>
      <sheetData sheetId="0"/>
      <sheetData sheetId="1"/>
      <sheetData sheetId="2" refreshError="1"/>
      <sheetData sheetId="3"/>
      <sheetData sheetId="4"/>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Traffic"/>
      <sheetName val="T4 Pop Proj"/>
      <sheetName val="T5 Pop Char"/>
      <sheetName val="T6 Mode to Work"/>
      <sheetName val="T7 Commuter Flow"/>
      <sheetName val="Figs 7 &amp; 8"/>
      <sheetName val="T8 School"/>
      <sheetName val="T9 Perf Ind"/>
      <sheetName val="F10 to F16 Perf Graphs"/>
      <sheetName val="T10 MM RM P Px"/>
      <sheetName val="T11 I C V Px"/>
      <sheetName val="T12 Misc Px"/>
      <sheetName val="F17 &amp; F18 Pax by rte &amp; run"/>
      <sheetName val="T13 Px by Type"/>
      <sheetName val="RideSum"/>
      <sheetName val="T14 Fleet"/>
      <sheetName val="T15 Rev by Source"/>
      <sheetName val="T16 Revenue"/>
      <sheetName val="T17 Expense"/>
      <sheetName val="T18 Providers"/>
      <sheetName val="T19 SS Providers"/>
      <sheetName val="T20 Emp Demand"/>
      <sheetName val="T21 Non-Prog Demand"/>
      <sheetName val="T22 Prog Demand"/>
      <sheetName val="T23 Demand Summary"/>
      <sheetName val="T24 Alts"/>
      <sheetName val="F19 Route Platform"/>
      <sheetName val="T25 AltPerf"/>
      <sheetName val="F20 to F24 Alt Perf Graphs"/>
      <sheetName val="T26 to T30 Plan Tables"/>
      <sheetName val="FY03-04 Budget"/>
      <sheetName val="FY02-03 Ridership"/>
      <sheetName val="Route X ridership history"/>
      <sheetName val="Elasticity"/>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Intercity"/>
      <sheetName val="Rancheria Px"/>
      <sheetName val="hist pop"/>
      <sheetName val=" Hist Pop"/>
      <sheetName val="F20 Route Plat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refreshError="1"/>
      <sheetData sheetId="5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Pop Proj"/>
      <sheetName val="T4 Pop Char"/>
      <sheetName val="T5 Mode to Work"/>
      <sheetName val="T6 Commuter Flow"/>
      <sheetName val="Figs 7 &amp; 8"/>
      <sheetName val="T7 School"/>
      <sheetName val="T8 Res Dev"/>
      <sheetName val="T9 Pop Forecast"/>
      <sheetName val="T10 Model Demographics"/>
      <sheetName val="T11 Ex and Proj Traffic"/>
      <sheetName val="T12 Revenues"/>
      <sheetName val="T13 LTF History"/>
      <sheetName val="Fig10 LTF"/>
      <sheetName val="Fig10 LTF (2)"/>
      <sheetName val="T13 LTF History (2)"/>
      <sheetName val="T14 Cost Model"/>
      <sheetName val="Fig 11 Ann'l Ridership"/>
      <sheetName val="T16 Rdshp by Route &amp; Run"/>
      <sheetName val="T17 Monthly Rdshp "/>
      <sheetName val="T18 Fare Type by Route"/>
      <sheetName val="Fig12 One Way Pax per Hour"/>
      <sheetName val="Fig13 One Way Pax per Mile"/>
      <sheetName val="Fig14 Ann'l Op Costs"/>
      <sheetName val="Fig15 Cost per Pax Trip"/>
      <sheetName val="Fig16 Farebox Ratio"/>
      <sheetName val="Fig17 Subsidy per pax"/>
      <sheetName val="T19 Vehicle Fleet"/>
      <sheetName val="Intercity"/>
      <sheetName val="T20 Emp Demand"/>
      <sheetName val="T21 Non-Prog Demand"/>
      <sheetName val="T22 Prog Demand"/>
      <sheetName val="T23 Demand Summary"/>
      <sheetName val="T24 Chart"/>
      <sheetName val="T24 Long-Range Demand"/>
      <sheetName val="Fig 18 Demand"/>
      <sheetName val="ADA Demand"/>
      <sheetName val="T24 Alts"/>
      <sheetName val="F19 Route Platform"/>
      <sheetName val="T25 AltPerf"/>
      <sheetName val="F20 to F24 Alt Perf Graphs"/>
      <sheetName val="T26 to T30 Plan Tables"/>
      <sheetName val="LongRange"/>
      <sheetName val="FY03-04 Budget"/>
      <sheetName val="FY02-03 Ridership"/>
      <sheetName val="Route X ridership history"/>
      <sheetName val="Elasticity"/>
      <sheetName val="Ann'l Op Costs - Svc Alts"/>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Rancheria Px"/>
      <sheetName val="hist pop"/>
      <sheetName val=" Hist Pop"/>
      <sheetName val="T3 Traffic"/>
      <sheetName val="AMADOR_DEMOGRAPHICS_2000"/>
      <sheetName val="Amador_Demographics_2025"/>
      <sheetName val="T15 Ann'l Op Cost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row r="29">
          <cell r="C29">
            <v>221980</v>
          </cell>
        </row>
      </sheetData>
      <sheetData sheetId="45"/>
      <sheetData sheetId="46" refreshError="1"/>
      <sheetData sheetId="47"/>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 val="Chart1"/>
      <sheetName val="0607 ARTS Revenues"/>
      <sheetName val="LTF History"/>
      <sheetName val="T17 Cost Model"/>
    </sheetNames>
    <sheetDataSet>
      <sheetData sheetId="0"/>
      <sheetData sheetId="1"/>
      <sheetData sheetId="2"/>
      <sheetData sheetId="3"/>
      <sheetData sheetId="4"/>
      <sheetData sheetId="5"/>
      <sheetData sheetId="6"/>
      <sheetData sheetId="7"/>
      <sheetData sheetId="8"/>
      <sheetData sheetId="9"/>
      <sheetData sheetId="10"/>
      <sheetData sheetId="11">
        <row r="4">
          <cell r="E4">
            <v>617674.54</v>
          </cell>
        </row>
        <row r="5">
          <cell r="E5">
            <v>73934.229999999981</v>
          </cell>
        </row>
        <row r="6">
          <cell r="E6">
            <v>6526.2499999999991</v>
          </cell>
        </row>
        <row r="7">
          <cell r="E7">
            <v>24205.639999999996</v>
          </cell>
        </row>
        <row r="8">
          <cell r="E8">
            <v>4299.88</v>
          </cell>
        </row>
        <row r="9">
          <cell r="E9">
            <v>6439.58</v>
          </cell>
        </row>
        <row r="10">
          <cell r="E10">
            <v>60541</v>
          </cell>
        </row>
        <row r="11">
          <cell r="E11">
            <v>5510</v>
          </cell>
        </row>
        <row r="15">
          <cell r="E15">
            <v>5735.6699999999992</v>
          </cell>
        </row>
        <row r="16">
          <cell r="E16">
            <v>1670.29</v>
          </cell>
        </row>
        <row r="17">
          <cell r="E17">
            <v>43225.760000000002</v>
          </cell>
        </row>
        <row r="19">
          <cell r="E19">
            <v>84219.650000000009</v>
          </cell>
        </row>
        <row r="20">
          <cell r="E20">
            <v>4902.7700000000004</v>
          </cell>
        </row>
        <row r="22">
          <cell r="E22">
            <v>31745.279999999999</v>
          </cell>
        </row>
        <row r="23">
          <cell r="E23">
            <v>6300</v>
          </cell>
        </row>
        <row r="24">
          <cell r="E24">
            <v>9366.369999999999</v>
          </cell>
        </row>
        <row r="25">
          <cell r="E25">
            <v>2903.95</v>
          </cell>
        </row>
        <row r="26">
          <cell r="E26">
            <v>1512.6</v>
          </cell>
        </row>
        <row r="27">
          <cell r="E27">
            <v>2764.5499999999997</v>
          </cell>
        </row>
        <row r="28">
          <cell r="E28">
            <v>94633.099999999991</v>
          </cell>
        </row>
        <row r="29">
          <cell r="E29">
            <v>11637.52</v>
          </cell>
        </row>
      </sheetData>
      <sheetData sheetId="12" refreshError="1"/>
      <sheetData sheetId="13"/>
      <sheetData sheetId="14"/>
      <sheetData sheetId="1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s>
    <sheetDataSet>
      <sheetData sheetId="0"/>
      <sheetData sheetId="1"/>
      <sheetData sheetId="2"/>
      <sheetData sheetId="3"/>
      <sheetData sheetId="4"/>
      <sheetData sheetId="5"/>
      <sheetData sheetId="6"/>
      <sheetData sheetId="7"/>
      <sheetData sheetId="8"/>
      <sheetData sheetId="9"/>
      <sheetData sheetId="10" refreshError="1">
        <row r="4">
          <cell r="E4">
            <v>298662.64000000007</v>
          </cell>
        </row>
        <row r="5">
          <cell r="E5">
            <v>6906.7</v>
          </cell>
        </row>
        <row r="6">
          <cell r="E6">
            <v>3491.2999999999997</v>
          </cell>
        </row>
        <row r="7">
          <cell r="E7">
            <v>19786.96</v>
          </cell>
        </row>
        <row r="8">
          <cell r="E8">
            <v>1516.52</v>
          </cell>
        </row>
        <row r="9">
          <cell r="E9">
            <v>19739.2</v>
          </cell>
        </row>
        <row r="10">
          <cell r="E10">
            <v>81</v>
          </cell>
        </row>
        <row r="11">
          <cell r="E11">
            <v>350184.32</v>
          </cell>
        </row>
        <row r="14">
          <cell r="E14">
            <v>3784.5</v>
          </cell>
        </row>
        <row r="15">
          <cell r="E15">
            <v>969.61</v>
          </cell>
        </row>
        <row r="16">
          <cell r="E16">
            <v>19134</v>
          </cell>
        </row>
        <row r="17">
          <cell r="E17">
            <v>52648.100000000006</v>
          </cell>
        </row>
        <row r="18">
          <cell r="E18">
            <v>1919.63</v>
          </cell>
        </row>
        <row r="19">
          <cell r="E19">
            <v>2221.67</v>
          </cell>
        </row>
        <row r="20">
          <cell r="E20">
            <v>9948.840000000002</v>
          </cell>
        </row>
        <row r="21">
          <cell r="E21">
            <v>600</v>
          </cell>
        </row>
        <row r="22">
          <cell r="E22">
            <v>3604.99</v>
          </cell>
        </row>
        <row r="23">
          <cell r="E23">
            <v>38.590000000000003</v>
          </cell>
        </row>
        <row r="24">
          <cell r="E24">
            <v>1332</v>
          </cell>
        </row>
        <row r="25">
          <cell r="E25">
            <v>2928.8300000000004</v>
          </cell>
        </row>
        <row r="26">
          <cell r="E26">
            <v>34985.03</v>
          </cell>
        </row>
        <row r="27">
          <cell r="E27">
            <v>4585.97</v>
          </cell>
        </row>
        <row r="28">
          <cell r="E28">
            <v>138701.76000000001</v>
          </cell>
        </row>
        <row r="30">
          <cell r="E30">
            <v>488886.08</v>
          </cell>
        </row>
        <row r="33">
          <cell r="E33">
            <v>23457.48</v>
          </cell>
        </row>
        <row r="34">
          <cell r="E34">
            <v>2627.9599999999996</v>
          </cell>
        </row>
        <row r="35">
          <cell r="E35">
            <v>0</v>
          </cell>
        </row>
      </sheetData>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Traffic"/>
      <sheetName val="T4 Pop Proj"/>
      <sheetName val="T5 Pop Char"/>
      <sheetName val="T6 Mode to Work"/>
      <sheetName val="T7 Commuter Flow"/>
      <sheetName val="Figs 7 &amp; 8"/>
      <sheetName val="T8 School"/>
      <sheetName val="T9 Perf Ind"/>
      <sheetName val="F10 to F16 Perf Graphs"/>
      <sheetName val="T10 MM RM P Px"/>
      <sheetName val="T11 I C V Px"/>
      <sheetName val="T12 Misc Px"/>
      <sheetName val="F17 &amp; F18 Pax by rte &amp; run"/>
      <sheetName val="T13 Px by Type"/>
      <sheetName val="RideSum"/>
      <sheetName val="T14 Fleet"/>
      <sheetName val="T15 Rev by Source"/>
      <sheetName val="T16 Revenue"/>
      <sheetName val="T17 Expense"/>
      <sheetName val="T18 Providers"/>
      <sheetName val="T19 SS Providers"/>
      <sheetName val="T20 Emp Demand"/>
      <sheetName val="T21 Non-Prog Demand"/>
      <sheetName val="T22 Prog Demand"/>
      <sheetName val="T23 Demand Summary"/>
      <sheetName val="T24 Alts"/>
      <sheetName val="F19 Route Platform"/>
      <sheetName val="T25 AltPerf"/>
      <sheetName val="F20 to F24 Alt Perf Graphs"/>
      <sheetName val="T26 to T30 Plan Tables"/>
      <sheetName val="FY03-04 Budget"/>
      <sheetName val="FY02-03 Ridership"/>
      <sheetName val="Route X ridership history"/>
      <sheetName val="Elasticity"/>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Intercity"/>
      <sheetName val="Rancheria Px"/>
      <sheetName val="hist pop"/>
      <sheetName val=" Hist Pop"/>
      <sheetName val="F20 Route Plat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refreshError="1"/>
      <sheetData sheetId="5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s>
    <sheetDataSet>
      <sheetData sheetId="0"/>
      <sheetData sheetId="1"/>
      <sheetData sheetId="2"/>
      <sheetData sheetId="3"/>
      <sheetData sheetId="4"/>
      <sheetData sheetId="5"/>
      <sheetData sheetId="6"/>
      <sheetData sheetId="7"/>
      <sheetData sheetId="8"/>
      <sheetData sheetId="9"/>
      <sheetData sheetId="10" refreshError="1">
        <row r="4">
          <cell r="E4">
            <v>298662.64000000007</v>
          </cell>
        </row>
        <row r="5">
          <cell r="E5">
            <v>6906.7</v>
          </cell>
        </row>
        <row r="6">
          <cell r="E6">
            <v>3491.2999999999997</v>
          </cell>
        </row>
        <row r="7">
          <cell r="E7">
            <v>19786.96</v>
          </cell>
        </row>
        <row r="8">
          <cell r="E8">
            <v>1516.52</v>
          </cell>
        </row>
        <row r="9">
          <cell r="E9">
            <v>19739.2</v>
          </cell>
        </row>
        <row r="10">
          <cell r="E10">
            <v>81</v>
          </cell>
        </row>
        <row r="11">
          <cell r="E11">
            <v>350184.32</v>
          </cell>
        </row>
        <row r="14">
          <cell r="E14">
            <v>3784.5</v>
          </cell>
        </row>
        <row r="15">
          <cell r="E15">
            <v>969.61</v>
          </cell>
        </row>
        <row r="16">
          <cell r="E16">
            <v>19134</v>
          </cell>
        </row>
        <row r="17">
          <cell r="E17">
            <v>52648.100000000006</v>
          </cell>
        </row>
        <row r="18">
          <cell r="E18">
            <v>1919.63</v>
          </cell>
        </row>
        <row r="19">
          <cell r="E19">
            <v>2221.67</v>
          </cell>
        </row>
        <row r="20">
          <cell r="E20">
            <v>9948.840000000002</v>
          </cell>
        </row>
        <row r="21">
          <cell r="E21">
            <v>600</v>
          </cell>
        </row>
        <row r="22">
          <cell r="E22">
            <v>3604.99</v>
          </cell>
        </row>
        <row r="23">
          <cell r="E23">
            <v>38.590000000000003</v>
          </cell>
        </row>
        <row r="24">
          <cell r="E24">
            <v>1332</v>
          </cell>
        </row>
        <row r="25">
          <cell r="E25">
            <v>2928.8300000000004</v>
          </cell>
        </row>
        <row r="26">
          <cell r="E26">
            <v>34985.03</v>
          </cell>
        </row>
        <row r="27">
          <cell r="E27">
            <v>4585.97</v>
          </cell>
        </row>
        <row r="28">
          <cell r="E28">
            <v>138701.76000000001</v>
          </cell>
        </row>
        <row r="30">
          <cell r="E30">
            <v>488886.08</v>
          </cell>
        </row>
        <row r="33">
          <cell r="E33">
            <v>23457.48</v>
          </cell>
        </row>
        <row r="34">
          <cell r="E34">
            <v>2627.9599999999996</v>
          </cell>
        </row>
        <row r="35">
          <cell r="E35">
            <v>0</v>
          </cell>
        </row>
      </sheetData>
      <sheetData sheetId="1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Pop Proj"/>
      <sheetName val="T4 Pop Char"/>
      <sheetName val="T5 Mode to Work"/>
      <sheetName val="T6 Commuter Flow"/>
      <sheetName val="Figs 7 &amp; 8"/>
      <sheetName val="T7 School"/>
      <sheetName val="T8 Res Dev"/>
      <sheetName val="T9 Pop Forecast"/>
      <sheetName val="T10 Model Demographics"/>
      <sheetName val="T11 Ex and Proj Traffic"/>
      <sheetName val="T12 Revenues"/>
      <sheetName val="T13 LTF History"/>
      <sheetName val="Fig10 LTF"/>
      <sheetName val="Fig10 LTF (2)"/>
      <sheetName val="T13 LTF History (2)"/>
      <sheetName val="T14 Cost Model"/>
      <sheetName val="Fig 11 Ann'l Ridership"/>
      <sheetName val="T16 Rdshp by Route &amp; Run"/>
      <sheetName val="T17 Monthly Rdshp "/>
      <sheetName val="T18 Fare Type by Route"/>
      <sheetName val="Fig12 One Way Pax per Hour"/>
      <sheetName val="Fig13 One Way Pax per Mile"/>
      <sheetName val="Fig14 Ann'l Op Costs"/>
      <sheetName val="Fig15 Cost per Pax Trip"/>
      <sheetName val="Fig16 Farebox Ratio"/>
      <sheetName val="Fig17 Subsidy per pax"/>
      <sheetName val="T19 Vehicle Fleet"/>
      <sheetName val="Intercity"/>
      <sheetName val="T20 Emp Demand"/>
      <sheetName val="T21 Non-Prog Demand"/>
      <sheetName val="T22 Prog Demand"/>
      <sheetName val="T23 Demand Summary"/>
      <sheetName val="T24 Chart"/>
      <sheetName val="T24 Long-Range Demand"/>
      <sheetName val="Fig 18 Demand"/>
      <sheetName val="ADA Demand"/>
      <sheetName val="T24 Alts"/>
      <sheetName val="F19 Route Platform"/>
      <sheetName val="T25 AltPerf"/>
      <sheetName val="F20 to F24 Alt Perf Graphs"/>
      <sheetName val="T26 to T30 Plan Tables"/>
      <sheetName val="LongRange"/>
      <sheetName val="FY03-04 Budget"/>
      <sheetName val="FY02-03 Ridership"/>
      <sheetName val="Route X ridership history"/>
      <sheetName val="Elasticity"/>
      <sheetName val="Ann'l Op Costs - Svc Alts"/>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Rancheria Px"/>
      <sheetName val="hist pop"/>
      <sheetName val=" Hist Pop"/>
      <sheetName val="T3 Traffic"/>
      <sheetName val="AMADOR_DEMOGRAPHICS_2000"/>
      <sheetName val="Amador_Demographics_2025"/>
      <sheetName val="T15 Ann'l Op Costs"/>
    </sheetNames>
    <sheetDataSet>
      <sheetData sheetId="0" refreshError="1"/>
      <sheetData sheetId="1" refreshError="1"/>
      <sheetData sheetId="2">
        <row r="15">
          <cell r="F15">
            <v>1.1820268368340603E-2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42">
          <cell r="E42">
            <v>37.73433896473265</v>
          </cell>
        </row>
      </sheetData>
      <sheetData sheetId="18" refreshError="1"/>
      <sheetData sheetId="19">
        <row r="9">
          <cell r="K9">
            <v>28644</v>
          </cell>
        </row>
      </sheetData>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row r="29">
          <cell r="C29">
            <v>221980</v>
          </cell>
        </row>
      </sheetData>
      <sheetData sheetId="45"/>
      <sheetData sheetId="46" refreshError="1"/>
      <sheetData sheetId="47">
        <row r="16">
          <cell r="L16">
            <v>30199</v>
          </cell>
        </row>
      </sheetData>
      <sheetData sheetId="48" refreshError="1"/>
      <sheetData sheetId="49">
        <row r="6">
          <cell r="J6">
            <v>35100</v>
          </cell>
        </row>
      </sheetData>
      <sheetData sheetId="50">
        <row r="31">
          <cell r="B31" t="str">
            <v xml:space="preserve">Amador </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ow r="13">
          <cell r="B13">
            <v>30039</v>
          </cell>
        </row>
      </sheetData>
      <sheetData sheetId="64" refreshError="1"/>
      <sheetData sheetId="65" refreshError="1"/>
      <sheetData sheetId="66" refreshError="1"/>
      <sheetData sheetId="67"/>
      <sheetData sheetId="68">
        <row r="23">
          <cell r="R23">
            <v>7.8753004878877038</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 val="Chart1"/>
      <sheetName val="0607 ARTS Revenues"/>
      <sheetName val="LTF History"/>
      <sheetName val="T17 Cost Model"/>
    </sheetNames>
    <sheetDataSet>
      <sheetData sheetId="0"/>
      <sheetData sheetId="1"/>
      <sheetData sheetId="2"/>
      <sheetData sheetId="3"/>
      <sheetData sheetId="4"/>
      <sheetData sheetId="5"/>
      <sheetData sheetId="6"/>
      <sheetData sheetId="7"/>
      <sheetData sheetId="8"/>
      <sheetData sheetId="9"/>
      <sheetData sheetId="10"/>
      <sheetData sheetId="11">
        <row r="4">
          <cell r="E4">
            <v>617674.54</v>
          </cell>
        </row>
        <row r="5">
          <cell r="E5">
            <v>73934.229999999981</v>
          </cell>
        </row>
        <row r="6">
          <cell r="E6">
            <v>6526.2499999999991</v>
          </cell>
        </row>
        <row r="7">
          <cell r="E7">
            <v>24205.639999999996</v>
          </cell>
        </row>
        <row r="8">
          <cell r="E8">
            <v>4299.88</v>
          </cell>
        </row>
        <row r="9">
          <cell r="E9">
            <v>6439.58</v>
          </cell>
        </row>
        <row r="10">
          <cell r="E10">
            <v>60541</v>
          </cell>
        </row>
        <row r="11">
          <cell r="E11">
            <v>5510</v>
          </cell>
        </row>
        <row r="15">
          <cell r="E15">
            <v>5735.6699999999992</v>
          </cell>
        </row>
        <row r="16">
          <cell r="E16">
            <v>1670.29</v>
          </cell>
        </row>
        <row r="17">
          <cell r="E17">
            <v>43225.760000000002</v>
          </cell>
        </row>
        <row r="19">
          <cell r="E19">
            <v>84219.650000000009</v>
          </cell>
        </row>
        <row r="20">
          <cell r="E20">
            <v>4902.7700000000004</v>
          </cell>
        </row>
        <row r="22">
          <cell r="E22">
            <v>31745.279999999999</v>
          </cell>
        </row>
        <row r="23">
          <cell r="E23">
            <v>6300</v>
          </cell>
        </row>
        <row r="24">
          <cell r="E24">
            <v>9366.369999999999</v>
          </cell>
        </row>
        <row r="25">
          <cell r="E25">
            <v>2903.95</v>
          </cell>
        </row>
        <row r="26">
          <cell r="E26">
            <v>1512.6</v>
          </cell>
        </row>
        <row r="27">
          <cell r="E27">
            <v>2764.5499999999997</v>
          </cell>
        </row>
        <row r="28">
          <cell r="E28">
            <v>94633.099999999991</v>
          </cell>
        </row>
        <row r="29">
          <cell r="E29">
            <v>11637.52</v>
          </cell>
        </row>
      </sheetData>
      <sheetData sheetId="12" refreshError="1"/>
      <sheetData sheetId="13"/>
      <sheetData sheetId="14">
        <row r="5">
          <cell r="D5" t="str">
            <v>ARTS</v>
          </cell>
        </row>
      </sheetData>
      <sheetData sheetId="15">
        <row r="37">
          <cell r="E37">
            <v>262339.15760000004</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 Total"/>
      <sheetName val="Notes"/>
      <sheetName val="ESTA 08-09 Buget"/>
      <sheetName val="Actuals 07-08 Mar"/>
      <sheetName val="Revenue"/>
      <sheetName val="Overhead - Capital"/>
      <sheetName val="Staffing"/>
      <sheetName val="BishopDAR"/>
      <sheetName val="BishopFR"/>
      <sheetName val="Lone Pine"/>
      <sheetName val="NiteRider"/>
      <sheetName val="Tecopa"/>
      <sheetName val="MammothDAR"/>
      <sheetName val="MammothFR"/>
      <sheetName val="TOML-Contract"/>
      <sheetName val="CREST"/>
      <sheetName val="Walker"/>
      <sheetName val="Benton"/>
      <sheetName val="MammothExpress"/>
      <sheetName val="Sheet2"/>
      <sheetName val="Sheet3"/>
      <sheetName val="CREST Project"/>
      <sheetName val="Sheet1"/>
      <sheetName val="Sheet4"/>
    </sheetNames>
    <sheetDataSet>
      <sheetData sheetId="0"/>
      <sheetData sheetId="1" refreshError="1"/>
      <sheetData sheetId="2" refreshError="1"/>
      <sheetData sheetId="3" refreshError="1"/>
      <sheetData sheetId="4"/>
      <sheetData sheetId="5" refreshError="1"/>
      <sheetData sheetId="6" refreshError="1"/>
      <sheetData sheetId="7"/>
      <sheetData sheetId="8"/>
      <sheetData sheetId="9"/>
      <sheetData sheetId="10"/>
      <sheetData sheetId="11"/>
      <sheetData sheetId="12"/>
      <sheetData sheetId="13"/>
      <sheetData sheetId="14"/>
      <sheetData sheetId="15"/>
      <sheetData sheetId="16" refreshError="1"/>
      <sheetData sheetId="17"/>
      <sheetData sheetId="18"/>
      <sheetData sheetId="19" refreshError="1"/>
      <sheetData sheetId="20" refreshError="1"/>
      <sheetData sheetId="21" refreshError="1"/>
      <sheetData sheetId="22" refreshError="1"/>
      <sheetData sheetId="2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uestion 1"/>
      <sheetName val="Question 2"/>
      <sheetName val="Question 3"/>
      <sheetName val="Question 4"/>
      <sheetName val="Question 5"/>
      <sheetName val="Question 6"/>
      <sheetName val="Question 7"/>
      <sheetName val="Question 8"/>
      <sheetName val="Question 9"/>
      <sheetName val="Question 10"/>
      <sheetName val="Question 11"/>
      <sheetName val="Question 12"/>
      <sheetName val="Question 13"/>
      <sheetName val="Question 14"/>
      <sheetName val="Question 15"/>
      <sheetName val="Question 16"/>
      <sheetName val="Question 17"/>
      <sheetName val="Question 18"/>
      <sheetName val="Question 19"/>
      <sheetName val="Question 20"/>
      <sheetName val="Question 21"/>
      <sheetName val="Question 22"/>
      <sheetName val="Question 23"/>
      <sheetName val="Question 24"/>
      <sheetName val="Question 25"/>
      <sheetName val="Question 26"/>
      <sheetName val="Question 27"/>
      <sheetName val="Question 28"/>
      <sheetName val="Question 29"/>
      <sheetName val="Question 30"/>
      <sheetName val="Agency Survey Results"/>
      <sheetName val="Agency Survey Results (4)"/>
      <sheetName val="Agency Survey Results (5)"/>
      <sheetName val="Agency Survey Results (3)"/>
      <sheetName val="Agency Survey Results (2)"/>
      <sheetName val="Agency Survey Results (6)"/>
    </sheetNames>
    <definedNames>
      <definedName name="delete" refersTo="#REF!" sheetId="30"/>
      <definedName name="newbie" refersTo="#REF!" sheetId="30"/>
      <definedName name="none" refersTo="#REF!" sheetId="30"/>
      <definedName name="pivot" refersTo="#REF!" sheetId="30"/>
      <definedName name="revised" refersTo="#REF!" sheetId="30"/>
      <definedName name="talk" refersTo="#REF!" sheetId="30"/>
    </definedNames>
    <sheetDataSet>
      <sheetData sheetId="0"/>
      <sheetData sheetId="1"/>
      <sheetData sheetId="2"/>
      <sheetData sheetId="3">
        <row r="4">
          <cell r="F4" t="str">
            <v>People with Mental Disabilities</v>
          </cell>
        </row>
      </sheetData>
      <sheetData sheetId="4"/>
      <sheetData sheetId="5">
        <row r="4">
          <cell r="F4" t="str">
            <v>City of Redding</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AutoOpen Stub Data"/>
      <sheetName val="Customize Your Invoice"/>
      <sheetName val="Invoice"/>
      <sheetName val="Macros"/>
      <sheetName val="ATW"/>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tats by Month"/>
      <sheetName val="T1 Monthly"/>
      <sheetName val="F2F3 RiderDOWHr"/>
      <sheetName val="T2 TripOD"/>
      <sheetName val="F4"/>
      <sheetName val="T3 VMT Calc"/>
      <sheetName val="F5F12 T4T8"/>
      <sheetName val="F13 T9T11"/>
      <sheetName val="T12 ComparisonSummary"/>
      <sheetName val="F14 2023 Productivity"/>
      <sheetName val="2023 CostPerPsgr"/>
      <sheetName val="T13 DAR Analysis"/>
      <sheetName val="F15 DAR Availability"/>
      <sheetName val="T14 FR Vs MT"/>
      <sheetName val="T15 ServedNotServedSum"/>
      <sheetName val="RevenueForecast"/>
      <sheetName val="ServiceScenarios"/>
      <sheetName val="F17 Scenarios"/>
      <sheetName val="PlacerTARTConnectData"/>
      <sheetName val="JanTruckeeConnectHourly"/>
      <sheetName val="FinAnalysisBuildingUp"/>
      <sheetName val="FinAnalysis of Avg Veh"/>
      <sheetName val="FRByStop"/>
      <sheetName val="FX 2022 Productivity"/>
      <sheetName val="FX Existing OpCostPsgr"/>
      <sheetName val="Truckee Transit Fleet"/>
      <sheetName val="TTARTMonthlySum"/>
      <sheetName val="FY21_22 Tracking Sheet"/>
      <sheetName val="Summary 2122 Truckee TART"/>
      <sheetName val="FX PlacerConnectBySeason"/>
      <sheetName val="TOTALS"/>
      <sheetName val="Data"/>
      <sheetName val="Operating Costs"/>
      <sheetName val="Cost per Passenger"/>
      <sheetName val="Transfers"/>
      <sheetName val="OTP"/>
      <sheetName val="Summary"/>
      <sheetName val="Vehicles"/>
      <sheetName val="NTTT"/>
      <sheetName val="DAR Revenue Tracking"/>
      <sheetName val="SLUD Revenue"/>
      <sheetName val="Reference"/>
      <sheetName val="Financial Analysis"/>
      <sheetName val="ComparisonSummary"/>
      <sheetName val="FX 2023 Productivity"/>
      <sheetName val="TX ServedNotServedSum"/>
      <sheetName val="DAR Analysis"/>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refreshError="1"/>
      <sheetData sheetId="13"/>
      <sheetData sheetId="14"/>
      <sheetData sheetId="15"/>
      <sheetData sheetId="16"/>
      <sheetData sheetId="17" refreshError="1"/>
      <sheetData sheetId="18"/>
      <sheetData sheetId="19"/>
      <sheetData sheetId="20"/>
      <sheetData sheetId="21"/>
      <sheetData sheetId="22"/>
      <sheetData sheetId="23" refreshError="1"/>
      <sheetData sheetId="24" refreshError="1"/>
      <sheetData sheetId="25"/>
      <sheetData sheetId="26"/>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row r="1">
          <cell r="A1" t="str">
            <v>Routes</v>
          </cell>
          <cell r="B1" t="str">
            <v>Employees</v>
          </cell>
          <cell r="C1" t="str">
            <v>Work Type</v>
          </cell>
          <cell r="E1" t="str">
            <v>Vehicles</v>
          </cell>
        </row>
        <row r="2">
          <cell r="A2" t="str">
            <v>Fixed 1</v>
          </cell>
          <cell r="B2" t="str">
            <v>Dave Kant</v>
          </cell>
          <cell r="C2" t="str">
            <v>TART</v>
          </cell>
          <cell r="E2">
            <v>925</v>
          </cell>
        </row>
        <row r="3">
          <cell r="A3" t="str">
            <v>North N</v>
          </cell>
          <cell r="C3" t="str">
            <v>ACRC</v>
          </cell>
          <cell r="E3">
            <v>926</v>
          </cell>
        </row>
        <row r="4">
          <cell r="A4" t="str">
            <v>Squaw N</v>
          </cell>
          <cell r="C4" t="str">
            <v>REC</v>
          </cell>
          <cell r="E4">
            <v>927</v>
          </cell>
        </row>
        <row r="5">
          <cell r="A5" t="str">
            <v>DAR 1</v>
          </cell>
          <cell r="C5" t="str">
            <v>TOT</v>
          </cell>
          <cell r="E5">
            <v>928</v>
          </cell>
        </row>
        <row r="6">
          <cell r="A6" t="str">
            <v>DAR 2</v>
          </cell>
          <cell r="C6" t="str">
            <v>Office</v>
          </cell>
          <cell r="E6">
            <v>929</v>
          </cell>
        </row>
        <row r="7">
          <cell r="A7" t="str">
            <v>DAR 3</v>
          </cell>
          <cell r="C7" t="str">
            <v>Hosp</v>
          </cell>
          <cell r="E7">
            <v>930</v>
          </cell>
        </row>
        <row r="8">
          <cell r="A8" t="str">
            <v>DAR 4</v>
          </cell>
          <cell r="C8" t="str">
            <v>AUX Billing</v>
          </cell>
          <cell r="E8">
            <v>931</v>
          </cell>
        </row>
        <row r="9">
          <cell r="A9" t="str">
            <v>DAR 5</v>
          </cell>
          <cell r="E9" t="str">
            <v>Subaru</v>
          </cell>
        </row>
        <row r="10">
          <cell r="A10" t="str">
            <v>ACRC</v>
          </cell>
        </row>
        <row r="11">
          <cell r="A11" t="str">
            <v>REC</v>
          </cell>
        </row>
        <row r="12">
          <cell r="A12" t="str">
            <v>TOT</v>
          </cell>
        </row>
        <row r="13">
          <cell r="A13" t="str">
            <v>Office</v>
          </cell>
        </row>
        <row r="14">
          <cell r="A14" t="str">
            <v>Hosp</v>
          </cell>
        </row>
        <row r="15">
          <cell r="A15" t="str">
            <v>AUX Billing</v>
          </cell>
        </row>
      </sheetData>
      <sheetData sheetId="42"/>
      <sheetData sheetId="43"/>
      <sheetData sheetId="44" refreshError="1"/>
      <sheetData sheetId="45"/>
      <sheetData sheetId="4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Total Trips"/>
      <sheetName val="T2"/>
      <sheetName val="Fig 1 Annual Ride"/>
      <sheetName val="Fig2  Ride by Month"/>
      <sheetName val="T3 Change of Ridership Season"/>
      <sheetName val="T4 Daily Ride by Season"/>
      <sheetName val="Fig 3 Daily Ride by Season"/>
      <sheetName val="Fig 4 Time of Day"/>
      <sheetName val="T5 Ride by Time of Day - Winter"/>
      <sheetName val="Fig5 Time of Day Winter"/>
      <sheetName val="T6 Ride by Time of Day - Summer"/>
      <sheetName val="Fig 6 Time of Day Summer"/>
      <sheetName val="T7 Ride by Time of Day - Off"/>
      <sheetName val="Fig7 Time of Day Off-Season"/>
      <sheetName val="T8 Greenhouse Gas Balance"/>
      <sheetName val="T9 Elasticity"/>
      <sheetName val="T10 Alt Impacts"/>
      <sheetName val="T11 Plan"/>
      <sheetName val="T Daily Ride - Append"/>
      <sheetName val="old to right"/>
      <sheetName val="Seasons"/>
      <sheetName val="Highlands Runs"/>
      <sheetName val="Vehicle Fleet"/>
      <sheetName val="On Off Aug 2000"/>
      <sheetName val="On Off Jan 18 2001"/>
      <sheetName val="Annual Ridership - Orig."/>
      <sheetName val=" T Daily Ridership 2005 (old)"/>
      <sheetName val="Average Daily Ridership - old"/>
      <sheetName val="Fig Daily Ridership- old"/>
      <sheetName val="T Total Daily 2005 -old"/>
      <sheetName val="2002 Cost Model"/>
      <sheetName val="T Annual Ridership"/>
      <sheetName val="T Ride by Season 2005"/>
      <sheetName val="Fig Ride by Season"/>
      <sheetName val="Alts"/>
      <sheetName val="Annual Emissions"/>
      <sheetName val="T2 Ridership by Month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T Elasticity"/>
      <sheetName val="PCT HrMi Per Run"/>
      <sheetName val="PCT New Devel"/>
      <sheetName val="PCT Fare Increases"/>
      <sheetName val="PCT Stanford Ranch PX"/>
      <sheetName val="PCT Unincorp W SW Roseville"/>
      <sheetName val="PCT FR TOD"/>
      <sheetName val="Aub Px per Hr"/>
      <sheetName val="Auburn New Svc Area"/>
      <sheetName val="Auburn Deviations"/>
      <sheetName val="Auburn Station"/>
      <sheetName val="Auburn Elasticity"/>
      <sheetName val="Auburn 01-02 Summary"/>
      <sheetName val="Auburn Sat-Sun Svc"/>
      <sheetName val="Linc New Serv Area"/>
      <sheetName val="Lincoln Elasticity"/>
      <sheetName val="Linc Hrs &amp; Mi"/>
      <sheetName val="RVille CapCor Px"/>
      <sheetName val="RVille Fare Increases"/>
      <sheetName val="RVille Elasticity"/>
      <sheetName val="R'Ville SierCol to Gall"/>
      <sheetName val="RVille EDCTA Departures 2002"/>
      <sheetName val="RVille EDCTA Departures 2003"/>
      <sheetName val="RVille HrMi Per Run"/>
      <sheetName val="RVille Misc Calcs"/>
      <sheetName val="RVille Stnrdge &amp; Highlands Px"/>
      <sheetName val="RVille New Rt M Loop Px"/>
      <sheetName val="R'Ville to Sierra College"/>
      <sheetName val="R'Ville to Light Rail"/>
      <sheetName val="CTSA ALTS"/>
      <sheetName val="Lincoln ALTS"/>
      <sheetName val="Hwy 49 wk-sat"/>
      <sheetName val="Taylr wk-sat"/>
      <sheetName val="RockLoom wk-sat"/>
      <sheetName val="GB weekdays"/>
      <sheetName val="Allocations"/>
      <sheetName val="AppA"/>
      <sheetName val="1990 BG Demo"/>
      <sheetName val="T-B1 2000 Dem. Table"/>
      <sheetName val="T-B2 2005 Dem. Table"/>
      <sheetName val="T-B3 2010 Dem. Table"/>
      <sheetName val="T-C1A 49 NB On-Off"/>
      <sheetName val="T-C1B 49 SB On-Off"/>
      <sheetName val="T-C1C 49 Sat On-Off"/>
      <sheetName val="TC1-D Sierra College On-Off"/>
      <sheetName val="TC1-E Sierra College On-Off Sat"/>
      <sheetName val="T-C1F Aub-LR On-Off Tue1"/>
      <sheetName val="T-C1G Aub-LR On-Off Tues2"/>
      <sheetName val="T-C1H Aub-LR On-Off Thurs"/>
      <sheetName val="T-C1I Auburn-LR On-Off Sat"/>
      <sheetName val="T-C1J Colfax-Alta On-Off"/>
      <sheetName val="T-C1K Taylor(Tues) On-Off"/>
      <sheetName val="T-C1LTaylor(Thurs) On-Off"/>
      <sheetName val="T-C1M Lincoln On-Off"/>
      <sheetName val="T-C2A Auburn Red On-Off"/>
      <sheetName val="T-C2B Auburn-Blue On-Off"/>
      <sheetName val="T-C3A Linc 102 On-Off"/>
      <sheetName val="T-C3B Linc 202 On-Off"/>
      <sheetName val="T-C3C Linc 203 On-Off"/>
      <sheetName val="T-C4A R'Ville RtA (Wkdy) On-Off"/>
      <sheetName val="T-C4B R'Ville RtA (Sat) On-Off"/>
      <sheetName val="T-C4C R'Ville RtB (Wkdy) On-Off"/>
      <sheetName val="T-C4D R'Ville RtB (Sat) On-Off"/>
      <sheetName val="T-C4E R'Ville RtC (Tue) On-Off"/>
      <sheetName val="T-C4F R'Ville RtC (Wed) On-Off"/>
      <sheetName val="T-C4G R'Ville RtC (Thu) On-Off"/>
      <sheetName val="T-C4H R'Ville RtC (Sat) On-Off"/>
      <sheetName val="T-C4I R'Ville RtD (Tue) On-Off"/>
      <sheetName val="T-C4J R'Ville RtD (Wed) On-Off"/>
      <sheetName val="T-C4K R'Ville RtD (Sat) On-Off"/>
      <sheetName val="T-C4L R'Ville RtE (Wkdy) On-Off"/>
      <sheetName val="T-C4M R'Ville RtE (Sat) On-Off"/>
      <sheetName val="T-C4N R'Ville RtJ (Wkdy) On-Off"/>
      <sheetName val="T-C4O R'Ville RtJ (Sat) On-Off"/>
      <sheetName val="T-C4P R'Ville RtK (Wkdy) On-Off"/>
      <sheetName val="T-C4Q R'Ville RtK (Sat) On-Off"/>
      <sheetName val="T-C4R R'Ville RtM (Wkdy) On-Off"/>
      <sheetName val="T-C4S R'Ville RtM (Sat) On-Off"/>
      <sheetName val="T-C4T R'Ville RtR On-Off"/>
      <sheetName val="T-C4U R'Ville Com1 On-Off"/>
      <sheetName val="T-C4V R'Ville Com2 On-Off"/>
      <sheetName val="T-C4W R'Ville Com3 On-Off"/>
      <sheetName val="T-C4X R'Ville Com4 On-Off"/>
      <sheetName val="T-C4Y R'Ville Com5 On-Off"/>
      <sheetName val="T-C4Z R'Ville Com6 On-Off"/>
      <sheetName val="T-D1A 49 SB SkedAdher"/>
      <sheetName val="T-D1B 49 NB SkedAdher"/>
      <sheetName val="T-D1C NAuburn SkedAdher"/>
      <sheetName val="T-D1D Sierra College SkedAdher"/>
      <sheetName val="T-D1E Aub-LR(Tues1) SkedAdher"/>
      <sheetName val="T-D1F Aub-LR(Tues2) SkedAdher"/>
      <sheetName val="T-D1G Aub-LR(Thur) SkedAdher"/>
      <sheetName val="T-D1H Colfax-Alta SkedAdher"/>
      <sheetName val="T-D1I Taylor(Tues) SkedAdher"/>
      <sheetName val="T-D1J Taylor(Thur) SkedAdher"/>
      <sheetName val="T-D1K Lincoln SkedAdher"/>
      <sheetName val="T-D2A Auburn-Red SkedAdher"/>
      <sheetName val="T-D2B Aub-Blue SkedAdher"/>
      <sheetName val="T-D3A Linc 102 SkedAdher"/>
      <sheetName val="T-D3B Linc 202 SkedAdher"/>
      <sheetName val="T-D3C Linc 203 SkedAdher"/>
      <sheetName val="T-D4A R'Ville RtA SkedAd"/>
      <sheetName val="T-D4B R'Ville RtB SkedAd"/>
      <sheetName val="T-D4C R'Ville RtC SkedAd"/>
      <sheetName val="T-D4D R'Ville RtC-Rev SkedAd"/>
      <sheetName val="T-D4E R'Ville RtD SkedAd"/>
      <sheetName val="T-D4F R'Ville RtDRev SkedAd"/>
      <sheetName val="T-D4G R'Ville RtE SkedAd"/>
      <sheetName val="T-D4H R'Ville RtJ SkedAd"/>
      <sheetName val="T-D4I R'Ville RtJRev SkedAd"/>
      <sheetName val="T-D4J R'Ville RtK SkedAd"/>
      <sheetName val="T-D4K R'Ville RtKRev SkedAd"/>
      <sheetName val="T-D4L R'Ville RtM SkedAd"/>
      <sheetName val="T-D4M R'Ville RtR SkedAd"/>
      <sheetName val="T-D4N R'Ville Com1 SkedAd"/>
      <sheetName val="T-D4O R'Ville Com2 SkedAd"/>
      <sheetName val="T-D4P R'Ville Com3 SkedAd"/>
      <sheetName val="T-D4R R'Ville Com4 SkedAd"/>
      <sheetName val="T-D4S R'Ville Com5 SkedAd"/>
      <sheetName val="T-D4T R'Ville Com6 SkedAd"/>
      <sheetName val="SF3 Part 1"/>
      <sheetName val="SF1 Part 1"/>
      <sheetName val="2000 Nationwide MobLtd 2"/>
      <sheetName val="2000sacog"/>
      <sheetName val="2005"/>
      <sheetName val="2010"/>
      <sheetName val="2020"/>
      <sheetName val="sqmile~1"/>
      <sheetName val="PCT Costs"/>
      <sheetName val="R'Ville Peak FR"/>
      <sheetName val="R'Ville Peak Commuter"/>
      <sheetName val="DAR General Fares"/>
      <sheetName val="FR General Fares "/>
      <sheetName val="PCT AnnFare"/>
      <sheetName val="R'Ville Existing Rts"/>
      <sheetName val="CTSA ride summary"/>
      <sheetName val="Hwy 49 all"/>
      <sheetName val="Taylr all"/>
      <sheetName val="RockLoom all"/>
      <sheetName val="Route Highway 49 raw data"/>
      <sheetName val="Route Highway 49 raw data (2)"/>
      <sheetName val="Highway 49 raw data (sat)"/>
      <sheetName val="Sierra College raw data"/>
      <sheetName val="Sierra College raw data (2)"/>
      <sheetName val="Sierra College raw data (sat)"/>
      <sheetName val="Auburn-Light Rail raw data"/>
      <sheetName val="Auburn-Light Rail raw data (2)"/>
      <sheetName val="Auburn-LR raw data(sat)"/>
      <sheetName val="PCT Colfax-Alta AM raw data"/>
      <sheetName val="PCT Colfax-Alta PM raw data"/>
      <sheetName val="PCT Taylor (Tues) raw data"/>
      <sheetName val="PCT Taylor (Thurs) raw data"/>
      <sheetName val="PCT Lincoln raw data"/>
      <sheetName val="Auburn-Red raw data"/>
      <sheetName val="Auburn-Blue raw data"/>
      <sheetName val="Linc 102 730 raw data"/>
      <sheetName val="Linc 202 945 raw data"/>
      <sheetName val="Linc 203 845 raw data"/>
      <sheetName val="R'Ville RtA (Wkdy) raw data"/>
      <sheetName val="R'Ville Rte A (Sat) raw data"/>
      <sheetName val="R'Ville RtB (Wkdy) raw data"/>
      <sheetName val="R'Ville RtB (Sat) raw data"/>
      <sheetName val="R'Ville RtC (Wkdy) raw data"/>
      <sheetName val="R'Ville RtC (Wkdy) raw data 2"/>
      <sheetName val="R'Ville RtC (Sat) raw data"/>
      <sheetName val="R'Ville RtD (Wkdy) raw data"/>
      <sheetName val="R'Ville RtD (Sat) raw data"/>
      <sheetName val="R'Ville RtE (Wkdy) raw data"/>
      <sheetName val="R'Ville RtE (Sat) raw data"/>
      <sheetName val="R'Ville RtJ (Wkdy) raw data"/>
      <sheetName val="R'Ville RtJ (Sat) raw data"/>
      <sheetName val="R'Ville RtK (Wkdy) raw data"/>
      <sheetName val="R'Ville RtK (Sat) raw data"/>
      <sheetName val="R'Ville RtM (Wkdy) raw data"/>
      <sheetName val="R'Ville RtM (Sat) raw data"/>
      <sheetName val="R'Ville RtR raw data"/>
      <sheetName val="R'Ville Com1&amp;6 raw data"/>
      <sheetName val="R'Ville Com2 raw data"/>
      <sheetName val="R'Ville Com3 raw data"/>
      <sheetName val="R'Ville Com4 raw data"/>
      <sheetName val="R'Ville Com5 raw data"/>
      <sheetName val="Comm Rdrshp-Rte"/>
      <sheetName val="Aub PxMo"/>
      <sheetName val="Sum. Demand"/>
      <sheetName val="Mode Split"/>
      <sheetName val="Eld. Demand"/>
      <sheetName val="Emp. Demand"/>
      <sheetName val="Emp. Dem.no BG"/>
      <sheetName val="SumCostAll"/>
      <sheetName val="Dont Use 1"/>
      <sheetName val="Dont Use 2"/>
      <sheetName val="Dont Use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
          <cell r="A1" t="str">
            <v>AREA_IN_SQ</v>
          </cell>
          <cell r="B1" t="str">
            <v>BLOCK_GROU</v>
          </cell>
        </row>
        <row r="2">
          <cell r="A2">
            <v>2.65</v>
          </cell>
          <cell r="B2" t="str">
            <v>060610201011</v>
          </cell>
        </row>
        <row r="3">
          <cell r="A3">
            <v>7.51</v>
          </cell>
          <cell r="B3" t="str">
            <v>060610201012</v>
          </cell>
        </row>
        <row r="4">
          <cell r="A4">
            <v>0.32</v>
          </cell>
          <cell r="B4" t="str">
            <v>060610201013</v>
          </cell>
        </row>
        <row r="5">
          <cell r="A5">
            <v>21.06</v>
          </cell>
          <cell r="B5" t="str">
            <v>060610201021</v>
          </cell>
        </row>
        <row r="6">
          <cell r="A6">
            <v>1.68</v>
          </cell>
          <cell r="B6" t="str">
            <v>060610201022</v>
          </cell>
        </row>
        <row r="7">
          <cell r="A7">
            <v>0.34</v>
          </cell>
          <cell r="B7" t="str">
            <v>060610201023</v>
          </cell>
        </row>
        <row r="8">
          <cell r="A8">
            <v>8.0299999999999994</v>
          </cell>
          <cell r="B8" t="str">
            <v>060610201031</v>
          </cell>
        </row>
        <row r="9">
          <cell r="A9">
            <v>0.74</v>
          </cell>
          <cell r="B9" t="str">
            <v>060610201032</v>
          </cell>
        </row>
        <row r="10">
          <cell r="A10">
            <v>0.3</v>
          </cell>
          <cell r="B10" t="str">
            <v>060610201033</v>
          </cell>
        </row>
        <row r="11">
          <cell r="A11">
            <v>7.31</v>
          </cell>
          <cell r="B11" t="str">
            <v>060610201041</v>
          </cell>
        </row>
        <row r="12">
          <cell r="A12">
            <v>0.38</v>
          </cell>
          <cell r="B12" t="str">
            <v>060610201042</v>
          </cell>
        </row>
        <row r="13">
          <cell r="A13">
            <v>0.44</v>
          </cell>
          <cell r="B13" t="str">
            <v>060610201043</v>
          </cell>
        </row>
        <row r="14">
          <cell r="A14">
            <v>0.16</v>
          </cell>
          <cell r="B14" t="str">
            <v>060610201044</v>
          </cell>
        </row>
        <row r="15">
          <cell r="A15">
            <v>0.44</v>
          </cell>
          <cell r="B15" t="str">
            <v>060610201045</v>
          </cell>
        </row>
        <row r="16">
          <cell r="A16">
            <v>2.74</v>
          </cell>
          <cell r="B16" t="str">
            <v>060610201051</v>
          </cell>
        </row>
        <row r="17">
          <cell r="A17">
            <v>6.93</v>
          </cell>
          <cell r="B17" t="str">
            <v>060610201052</v>
          </cell>
        </row>
        <row r="18">
          <cell r="A18">
            <v>0.24</v>
          </cell>
          <cell r="B18" t="str">
            <v>060610201053</v>
          </cell>
        </row>
        <row r="19">
          <cell r="A19">
            <v>0.78</v>
          </cell>
          <cell r="B19" t="str">
            <v>060610201054</v>
          </cell>
        </row>
        <row r="20">
          <cell r="A20">
            <v>1.79</v>
          </cell>
          <cell r="B20" t="str">
            <v>060610201061</v>
          </cell>
        </row>
        <row r="21">
          <cell r="A21">
            <v>0.56000000000000005</v>
          </cell>
          <cell r="B21" t="str">
            <v>060610201062</v>
          </cell>
        </row>
        <row r="22">
          <cell r="A22">
            <v>6.2</v>
          </cell>
          <cell r="B22" t="str">
            <v>060610201063</v>
          </cell>
        </row>
        <row r="23">
          <cell r="A23">
            <v>0.5</v>
          </cell>
          <cell r="B23" t="str">
            <v>060610201071</v>
          </cell>
        </row>
        <row r="24">
          <cell r="A24">
            <v>0.22</v>
          </cell>
          <cell r="B24" t="str">
            <v>060610201072</v>
          </cell>
        </row>
        <row r="25">
          <cell r="A25">
            <v>0.13</v>
          </cell>
          <cell r="B25" t="str">
            <v>060610201073</v>
          </cell>
        </row>
        <row r="26">
          <cell r="A26">
            <v>2.0499999999999998</v>
          </cell>
          <cell r="B26" t="str">
            <v>060610201074</v>
          </cell>
        </row>
        <row r="27">
          <cell r="A27">
            <v>38.49</v>
          </cell>
          <cell r="B27" t="str">
            <v>060610202001</v>
          </cell>
        </row>
        <row r="28">
          <cell r="A28">
            <v>5.1100000000000003</v>
          </cell>
          <cell r="B28" t="str">
            <v>060610202002</v>
          </cell>
        </row>
        <row r="29">
          <cell r="A29">
            <v>227.94</v>
          </cell>
          <cell r="B29" t="str">
            <v>060610202003</v>
          </cell>
        </row>
        <row r="30">
          <cell r="A30">
            <v>1.35</v>
          </cell>
          <cell r="B30" t="str">
            <v>060610202004</v>
          </cell>
        </row>
        <row r="31">
          <cell r="A31">
            <v>287.74</v>
          </cell>
          <cell r="B31" t="str">
            <v>060610202005</v>
          </cell>
        </row>
        <row r="32">
          <cell r="A32">
            <v>0.99</v>
          </cell>
          <cell r="B32" t="str">
            <v>060610203001</v>
          </cell>
        </row>
        <row r="33">
          <cell r="A33">
            <v>1.1399999999999999</v>
          </cell>
          <cell r="B33" t="str">
            <v>060610203002</v>
          </cell>
        </row>
        <row r="34">
          <cell r="A34">
            <v>3.07</v>
          </cell>
          <cell r="B34" t="str">
            <v>060610204001</v>
          </cell>
        </row>
        <row r="35">
          <cell r="A35">
            <v>0.83</v>
          </cell>
          <cell r="B35" t="str">
            <v>060610204002</v>
          </cell>
        </row>
        <row r="36">
          <cell r="A36">
            <v>0.17</v>
          </cell>
          <cell r="B36" t="str">
            <v>060610204003</v>
          </cell>
        </row>
        <row r="37">
          <cell r="A37">
            <v>4.8899999999999997</v>
          </cell>
          <cell r="B37" t="str">
            <v>060610205001</v>
          </cell>
        </row>
        <row r="38">
          <cell r="A38">
            <v>5.2</v>
          </cell>
          <cell r="B38" t="str">
            <v>060610205002</v>
          </cell>
        </row>
        <row r="39">
          <cell r="A39">
            <v>1</v>
          </cell>
          <cell r="B39" t="str">
            <v>060610205003</v>
          </cell>
        </row>
        <row r="40">
          <cell r="A40">
            <v>3.86</v>
          </cell>
          <cell r="B40" t="str">
            <v>060610205004</v>
          </cell>
        </row>
        <row r="41">
          <cell r="A41">
            <v>5.76</v>
          </cell>
          <cell r="B41" t="str">
            <v>060610205005</v>
          </cell>
        </row>
        <row r="42">
          <cell r="A42">
            <v>0.98</v>
          </cell>
          <cell r="B42" t="str">
            <v>060610206011</v>
          </cell>
        </row>
        <row r="43">
          <cell r="A43">
            <v>8.24</v>
          </cell>
          <cell r="B43" t="str">
            <v>060610206012</v>
          </cell>
        </row>
        <row r="44">
          <cell r="A44">
            <v>0.47</v>
          </cell>
          <cell r="B44" t="str">
            <v>060610206013</v>
          </cell>
        </row>
        <row r="45">
          <cell r="A45">
            <v>4.4800000000000004</v>
          </cell>
          <cell r="B45" t="str">
            <v>060610206021</v>
          </cell>
        </row>
        <row r="46">
          <cell r="A46">
            <v>2.0499999999999998</v>
          </cell>
          <cell r="B46" t="str">
            <v>060610206022</v>
          </cell>
        </row>
        <row r="47">
          <cell r="A47">
            <v>1.72</v>
          </cell>
          <cell r="B47" t="str">
            <v>060610206023</v>
          </cell>
        </row>
        <row r="48">
          <cell r="A48">
            <v>5.84</v>
          </cell>
          <cell r="B48" t="str">
            <v>060610206024</v>
          </cell>
        </row>
        <row r="49">
          <cell r="A49">
            <v>4.63</v>
          </cell>
          <cell r="B49" t="str">
            <v>060610206025</v>
          </cell>
        </row>
        <row r="50">
          <cell r="A50">
            <v>1.26</v>
          </cell>
          <cell r="B50" t="str">
            <v>060610206041</v>
          </cell>
        </row>
        <row r="51">
          <cell r="A51">
            <v>1.1299999999999999</v>
          </cell>
          <cell r="B51" t="str">
            <v>060610206042</v>
          </cell>
        </row>
        <row r="52">
          <cell r="A52">
            <v>1.26</v>
          </cell>
          <cell r="B52" t="str">
            <v>060610206043</v>
          </cell>
        </row>
        <row r="53">
          <cell r="A53">
            <v>0.82</v>
          </cell>
          <cell r="B53" t="str">
            <v>060610206044</v>
          </cell>
        </row>
        <row r="54">
          <cell r="A54">
            <v>2.2999999999999998</v>
          </cell>
          <cell r="B54" t="str">
            <v>060610206051</v>
          </cell>
        </row>
        <row r="55">
          <cell r="A55">
            <v>1.68</v>
          </cell>
          <cell r="B55" t="str">
            <v>060610206052</v>
          </cell>
        </row>
        <row r="56">
          <cell r="A56">
            <v>1.57</v>
          </cell>
          <cell r="B56" t="str">
            <v>060610206061</v>
          </cell>
        </row>
        <row r="57">
          <cell r="A57">
            <v>0.33</v>
          </cell>
          <cell r="B57" t="str">
            <v>060610207021</v>
          </cell>
        </row>
        <row r="58">
          <cell r="A58">
            <v>0.27</v>
          </cell>
          <cell r="B58" t="str">
            <v>060610207022</v>
          </cell>
        </row>
        <row r="59">
          <cell r="A59">
            <v>0.65</v>
          </cell>
          <cell r="B59" t="str">
            <v>060610207023</v>
          </cell>
        </row>
        <row r="60">
          <cell r="A60">
            <v>0.55000000000000004</v>
          </cell>
          <cell r="B60" t="str">
            <v>060610207031</v>
          </cell>
        </row>
        <row r="61">
          <cell r="A61">
            <v>0.55000000000000004</v>
          </cell>
          <cell r="B61" t="str">
            <v>060610207032</v>
          </cell>
        </row>
        <row r="62">
          <cell r="A62">
            <v>0.38</v>
          </cell>
          <cell r="B62" t="str">
            <v>060610207033</v>
          </cell>
        </row>
        <row r="63">
          <cell r="A63">
            <v>3.69</v>
          </cell>
          <cell r="B63" t="str">
            <v>060610207041</v>
          </cell>
        </row>
        <row r="64">
          <cell r="A64">
            <v>1.21</v>
          </cell>
          <cell r="B64" t="str">
            <v>060610207051</v>
          </cell>
        </row>
        <row r="65">
          <cell r="A65">
            <v>0.45</v>
          </cell>
          <cell r="B65" t="str">
            <v>060610207052</v>
          </cell>
        </row>
        <row r="66">
          <cell r="A66">
            <v>0.83</v>
          </cell>
          <cell r="B66" t="str">
            <v>060610207053</v>
          </cell>
        </row>
        <row r="67">
          <cell r="A67">
            <v>0.49</v>
          </cell>
          <cell r="B67" t="str">
            <v>060610208001</v>
          </cell>
        </row>
        <row r="68">
          <cell r="A68">
            <v>0.45</v>
          </cell>
          <cell r="B68" t="str">
            <v>060610208002</v>
          </cell>
        </row>
        <row r="69">
          <cell r="A69">
            <v>0.76</v>
          </cell>
          <cell r="B69" t="str">
            <v>060610208003</v>
          </cell>
        </row>
        <row r="70">
          <cell r="A70">
            <v>0.13</v>
          </cell>
          <cell r="B70" t="str">
            <v>060610209011</v>
          </cell>
        </row>
        <row r="71">
          <cell r="A71">
            <v>0.54</v>
          </cell>
          <cell r="B71" t="str">
            <v>060610209012</v>
          </cell>
        </row>
        <row r="72">
          <cell r="A72">
            <v>5.19</v>
          </cell>
          <cell r="B72" t="str">
            <v>060610209021</v>
          </cell>
        </row>
        <row r="73">
          <cell r="A73">
            <v>3.07</v>
          </cell>
          <cell r="B73" t="str">
            <v>060610209022</v>
          </cell>
        </row>
        <row r="74">
          <cell r="A74">
            <v>0.41</v>
          </cell>
          <cell r="B74" t="str">
            <v>060610209023</v>
          </cell>
        </row>
        <row r="75">
          <cell r="A75">
            <v>0.54</v>
          </cell>
          <cell r="B75" t="str">
            <v>060610209024</v>
          </cell>
        </row>
        <row r="76">
          <cell r="A76">
            <v>0.27</v>
          </cell>
          <cell r="B76" t="str">
            <v>060610210031</v>
          </cell>
        </row>
        <row r="77">
          <cell r="A77">
            <v>0.21</v>
          </cell>
          <cell r="B77" t="str">
            <v>060610210032</v>
          </cell>
        </row>
        <row r="78">
          <cell r="A78">
            <v>0.54</v>
          </cell>
          <cell r="B78" t="str">
            <v>060610210033</v>
          </cell>
        </row>
        <row r="79">
          <cell r="A79">
            <v>1.82</v>
          </cell>
          <cell r="B79" t="str">
            <v>060610210034</v>
          </cell>
        </row>
        <row r="80">
          <cell r="A80">
            <v>3.53</v>
          </cell>
          <cell r="B80" t="str">
            <v>060610210041</v>
          </cell>
        </row>
        <row r="81">
          <cell r="A81">
            <v>4.88</v>
          </cell>
          <cell r="B81" t="str">
            <v>060610210051</v>
          </cell>
        </row>
        <row r="82">
          <cell r="A82">
            <v>0.75</v>
          </cell>
          <cell r="B82" t="str">
            <v>060610210061</v>
          </cell>
        </row>
        <row r="83">
          <cell r="A83">
            <v>1.1200000000000001</v>
          </cell>
          <cell r="B83" t="str">
            <v>060610210062</v>
          </cell>
        </row>
        <row r="84">
          <cell r="A84">
            <v>0.43</v>
          </cell>
          <cell r="B84" t="str">
            <v>060610210071</v>
          </cell>
        </row>
        <row r="85">
          <cell r="A85">
            <v>2.35</v>
          </cell>
          <cell r="B85" t="str">
            <v>060610210072</v>
          </cell>
        </row>
        <row r="86">
          <cell r="A86">
            <v>0.42</v>
          </cell>
          <cell r="B86" t="str">
            <v>060610210081</v>
          </cell>
        </row>
        <row r="87">
          <cell r="A87">
            <v>0.81</v>
          </cell>
          <cell r="B87" t="str">
            <v>060610210082</v>
          </cell>
        </row>
        <row r="88">
          <cell r="A88">
            <v>1.0900000000000001</v>
          </cell>
          <cell r="B88" t="str">
            <v>060610211031</v>
          </cell>
        </row>
        <row r="89">
          <cell r="A89">
            <v>0.11</v>
          </cell>
          <cell r="B89" t="str">
            <v>060610211032</v>
          </cell>
        </row>
        <row r="90">
          <cell r="A90">
            <v>0.56000000000000005</v>
          </cell>
          <cell r="B90" t="str">
            <v>060610211033</v>
          </cell>
        </row>
        <row r="91">
          <cell r="A91">
            <v>0.18</v>
          </cell>
          <cell r="B91" t="str">
            <v>060610211034</v>
          </cell>
        </row>
        <row r="92">
          <cell r="A92">
            <v>5.78</v>
          </cell>
          <cell r="B92" t="str">
            <v>060610211041</v>
          </cell>
        </row>
        <row r="93">
          <cell r="A93">
            <v>1.06</v>
          </cell>
          <cell r="B93" t="str">
            <v>060610211051</v>
          </cell>
        </row>
        <row r="94">
          <cell r="A94">
            <v>0.74</v>
          </cell>
          <cell r="B94" t="str">
            <v>060610211061</v>
          </cell>
        </row>
        <row r="95">
          <cell r="A95">
            <v>0.74</v>
          </cell>
          <cell r="B95" t="str">
            <v>060610211071</v>
          </cell>
        </row>
        <row r="96">
          <cell r="A96">
            <v>3</v>
          </cell>
          <cell r="B96" t="str">
            <v>060610211072</v>
          </cell>
        </row>
        <row r="97">
          <cell r="A97">
            <v>0.27</v>
          </cell>
          <cell r="B97" t="str">
            <v>060610211081</v>
          </cell>
        </row>
        <row r="98">
          <cell r="A98">
            <v>0.41</v>
          </cell>
          <cell r="B98" t="str">
            <v>060610211082</v>
          </cell>
        </row>
        <row r="99">
          <cell r="A99">
            <v>2.12</v>
          </cell>
          <cell r="B99" t="str">
            <v>060610211091</v>
          </cell>
        </row>
        <row r="100">
          <cell r="A100">
            <v>9.51</v>
          </cell>
          <cell r="B100" t="str">
            <v>060610212001</v>
          </cell>
        </row>
        <row r="101">
          <cell r="A101">
            <v>3.86</v>
          </cell>
          <cell r="B101" t="str">
            <v>060610212002</v>
          </cell>
        </row>
        <row r="102">
          <cell r="A102">
            <v>1.39</v>
          </cell>
          <cell r="B102" t="str">
            <v>060610212003</v>
          </cell>
        </row>
        <row r="103">
          <cell r="A103">
            <v>2.61</v>
          </cell>
          <cell r="B103" t="str">
            <v>060610212004</v>
          </cell>
        </row>
        <row r="104">
          <cell r="A104">
            <v>0.89</v>
          </cell>
          <cell r="B104" t="str">
            <v>060610212005</v>
          </cell>
        </row>
        <row r="105">
          <cell r="A105">
            <v>45.98</v>
          </cell>
          <cell r="B105" t="str">
            <v>060610213011</v>
          </cell>
        </row>
        <row r="106">
          <cell r="A106">
            <v>67.400000000000006</v>
          </cell>
          <cell r="B106" t="str">
            <v>060610213012</v>
          </cell>
        </row>
        <row r="107">
          <cell r="A107">
            <v>16.79</v>
          </cell>
          <cell r="B107" t="str">
            <v>060610213031</v>
          </cell>
        </row>
        <row r="108">
          <cell r="A108">
            <v>38.5</v>
          </cell>
          <cell r="B108" t="str">
            <v>060610213041</v>
          </cell>
        </row>
        <row r="109">
          <cell r="A109">
            <v>19.36</v>
          </cell>
          <cell r="B109" t="str">
            <v>060610213042</v>
          </cell>
        </row>
        <row r="110">
          <cell r="A110">
            <v>8.77</v>
          </cell>
          <cell r="B110" t="str">
            <v>060610213043</v>
          </cell>
        </row>
        <row r="111">
          <cell r="A111">
            <v>10.87</v>
          </cell>
          <cell r="B111" t="str">
            <v>060610213044</v>
          </cell>
        </row>
        <row r="112">
          <cell r="A112">
            <v>0.62</v>
          </cell>
          <cell r="B112" t="str">
            <v>060610214011</v>
          </cell>
        </row>
        <row r="113">
          <cell r="A113">
            <v>0.27</v>
          </cell>
          <cell r="B113" t="str">
            <v>060610214012</v>
          </cell>
        </row>
        <row r="114">
          <cell r="A114">
            <v>0.19</v>
          </cell>
          <cell r="B114" t="str">
            <v>060610214013</v>
          </cell>
        </row>
        <row r="115">
          <cell r="A115">
            <v>0.26</v>
          </cell>
          <cell r="B115" t="str">
            <v>060610214021</v>
          </cell>
        </row>
        <row r="116">
          <cell r="A116">
            <v>0.24</v>
          </cell>
          <cell r="B116" t="str">
            <v>060610214022</v>
          </cell>
        </row>
        <row r="117">
          <cell r="A117">
            <v>0.42</v>
          </cell>
          <cell r="B117" t="str">
            <v>060610214023</v>
          </cell>
        </row>
        <row r="118">
          <cell r="A118">
            <v>1.68</v>
          </cell>
          <cell r="B118" t="str">
            <v>060610214024</v>
          </cell>
        </row>
        <row r="119">
          <cell r="A119">
            <v>4.33</v>
          </cell>
          <cell r="B119" t="str">
            <v>060610215011</v>
          </cell>
        </row>
        <row r="120">
          <cell r="A120">
            <v>2.56</v>
          </cell>
          <cell r="B120" t="str">
            <v>060610215012</v>
          </cell>
        </row>
        <row r="121">
          <cell r="A121">
            <v>3.84</v>
          </cell>
          <cell r="B121" t="str">
            <v>060610215013</v>
          </cell>
        </row>
        <row r="122">
          <cell r="A122">
            <v>0.99</v>
          </cell>
          <cell r="B122" t="str">
            <v>060610215021</v>
          </cell>
        </row>
        <row r="123">
          <cell r="A123">
            <v>1.83</v>
          </cell>
          <cell r="B123" t="str">
            <v>060610215022</v>
          </cell>
        </row>
        <row r="124">
          <cell r="A124">
            <v>25.41</v>
          </cell>
          <cell r="B124" t="str">
            <v>060610216001</v>
          </cell>
        </row>
        <row r="125">
          <cell r="A125">
            <v>11.68</v>
          </cell>
          <cell r="B125" t="str">
            <v>060610216002</v>
          </cell>
        </row>
        <row r="126">
          <cell r="A126">
            <v>1.1299999999999999</v>
          </cell>
          <cell r="B126" t="str">
            <v>060610216003</v>
          </cell>
        </row>
        <row r="127">
          <cell r="A127">
            <v>0.05</v>
          </cell>
          <cell r="B127" t="str">
            <v>060610216004</v>
          </cell>
        </row>
        <row r="128">
          <cell r="A128">
            <v>4.75</v>
          </cell>
          <cell r="B128" t="str">
            <v>060610218011</v>
          </cell>
        </row>
        <row r="129">
          <cell r="A129">
            <v>3.85</v>
          </cell>
          <cell r="B129" t="str">
            <v>060610218012</v>
          </cell>
        </row>
        <row r="130">
          <cell r="A130">
            <v>1.53</v>
          </cell>
          <cell r="B130" t="str">
            <v>060610218013</v>
          </cell>
        </row>
        <row r="131">
          <cell r="A131">
            <v>2.82</v>
          </cell>
          <cell r="B131" t="str">
            <v>060610218014</v>
          </cell>
        </row>
        <row r="132">
          <cell r="A132">
            <v>2.92</v>
          </cell>
          <cell r="B132" t="str">
            <v>060610218021</v>
          </cell>
        </row>
        <row r="133">
          <cell r="A133">
            <v>0.84</v>
          </cell>
          <cell r="B133" t="str">
            <v>060610218022</v>
          </cell>
        </row>
        <row r="134">
          <cell r="A134">
            <v>0.8</v>
          </cell>
          <cell r="B134" t="str">
            <v>060610218023</v>
          </cell>
        </row>
        <row r="135">
          <cell r="A135">
            <v>3.57</v>
          </cell>
          <cell r="B135" t="str">
            <v>060610218024</v>
          </cell>
        </row>
        <row r="136">
          <cell r="A136">
            <v>3.69</v>
          </cell>
          <cell r="B136" t="str">
            <v>060610219011</v>
          </cell>
        </row>
        <row r="137">
          <cell r="A137">
            <v>12.54</v>
          </cell>
          <cell r="B137" t="str">
            <v>060610219012</v>
          </cell>
        </row>
        <row r="138">
          <cell r="A138">
            <v>2.96</v>
          </cell>
          <cell r="B138" t="str">
            <v>060610219021</v>
          </cell>
        </row>
        <row r="139">
          <cell r="A139">
            <v>6.19</v>
          </cell>
          <cell r="B139" t="str">
            <v>060610219022</v>
          </cell>
        </row>
        <row r="140">
          <cell r="A140">
            <v>0.37</v>
          </cell>
          <cell r="B140" t="str">
            <v>060610219023</v>
          </cell>
        </row>
        <row r="141">
          <cell r="A141">
            <v>12.67</v>
          </cell>
          <cell r="B141" t="str">
            <v>060610220011</v>
          </cell>
        </row>
        <row r="142">
          <cell r="A142">
            <v>23.37</v>
          </cell>
          <cell r="B142" t="str">
            <v>060610220012</v>
          </cell>
        </row>
        <row r="143">
          <cell r="A143">
            <v>144.49</v>
          </cell>
          <cell r="B143" t="str">
            <v>060610220013</v>
          </cell>
        </row>
        <row r="144">
          <cell r="A144">
            <v>19.05</v>
          </cell>
          <cell r="B144" t="str">
            <v>060610220014</v>
          </cell>
        </row>
        <row r="145">
          <cell r="A145">
            <v>73.180000000000007</v>
          </cell>
          <cell r="B145" t="str">
            <v>060610220015</v>
          </cell>
        </row>
        <row r="146">
          <cell r="A146">
            <v>24.58</v>
          </cell>
          <cell r="B146" t="str">
            <v>060610220016</v>
          </cell>
        </row>
        <row r="147">
          <cell r="A147">
            <v>2.09</v>
          </cell>
          <cell r="B147" t="str">
            <v>060610220021</v>
          </cell>
        </row>
        <row r="148">
          <cell r="A148">
            <v>7.86</v>
          </cell>
          <cell r="B148" t="str">
            <v>060610220022</v>
          </cell>
        </row>
        <row r="149">
          <cell r="A149">
            <v>15.26</v>
          </cell>
          <cell r="B149" t="str">
            <v>060610220023</v>
          </cell>
        </row>
      </sheetData>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5 Cycle 1"/>
      <sheetName val="2016 Cycle 2"/>
      <sheetName val="2018  Cycle 3"/>
      <sheetName val="2020 Cycle 4"/>
      <sheetName val="2022 Cycle 5"/>
      <sheetName val="2023 Cycle 6"/>
      <sheetName val="Grade Separation 2023"/>
      <sheetName val="Grade Separation 2023 DEC"/>
      <sheetName val="AB 180"/>
      <sheetName val="2023 Cycle 6 Existing Projects "/>
      <sheetName val="CashFlow"/>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chsd Svcs#2555"/>
      <sheetName val="Revenue"/>
      <sheetName val="PCT Revenue"/>
      <sheetName val="DAR PCE Changes"/>
      <sheetName val="Auburn Revenue"/>
      <sheetName val="Lincoln Revenue"/>
      <sheetName val="FTA 5307"/>
      <sheetName val="FTA 5307 CARES Act"/>
      <sheetName val="SACOG Census Data"/>
      <sheetName val="TART Rev"/>
      <sheetName val="PassRev"/>
      <sheetName val="TART Free Fare Rev"/>
      <sheetName val="TART VRH VRM"/>
      <sheetName val="Projected S10"/>
      <sheetName val="SalaryCalc"/>
      <sheetName val="Fuel - 2770"/>
      <sheetName val="Cost Indicators"/>
      <sheetName val="Sheet13"/>
      <sheetName val="Sheet14"/>
      <sheetName val="Sheet15"/>
      <sheetName val="Sheet16"/>
      <sheetName val="Sheet17"/>
      <sheetName val="Sheet18"/>
      <sheetName val="Sheet3"/>
      <sheetName val="Sheet19"/>
      <sheetName val="Sheet2"/>
      <sheetName val="Hours"/>
      <sheetName val="TART Boardings CY 2018"/>
      <sheetName val="TART Boardings CY 2019"/>
    </sheetNames>
    <sheetDataSet>
      <sheetData sheetId="0"/>
      <sheetData sheetId="1">
        <row r="1">
          <cell r="D1" t="str">
            <v>Placer County Transit Revenue</v>
          </cell>
        </row>
        <row r="3">
          <cell r="C3" t="str">
            <v>OL3</v>
          </cell>
          <cell r="D3" t="str">
            <v>Source</v>
          </cell>
        </row>
        <row r="4">
          <cell r="C4">
            <v>6170</v>
          </cell>
          <cell r="D4" t="str">
            <v>LTF</v>
          </cell>
        </row>
        <row r="5">
          <cell r="C5">
            <v>6950</v>
          </cell>
          <cell r="D5" t="str">
            <v>Interest Revenue</v>
          </cell>
        </row>
        <row r="6">
          <cell r="C6">
            <v>7249</v>
          </cell>
          <cell r="D6" t="str">
            <v>FTA 5311 (Colfax &amp; Loomis)</v>
          </cell>
        </row>
        <row r="7">
          <cell r="C7">
            <v>7249</v>
          </cell>
          <cell r="D7" t="str">
            <v>CMAQ - Buses</v>
          </cell>
        </row>
        <row r="8">
          <cell r="C8">
            <v>7249</v>
          </cell>
          <cell r="D8" t="str">
            <v>CMAQ - Commuter Service</v>
          </cell>
        </row>
        <row r="9">
          <cell r="C9">
            <v>7249</v>
          </cell>
          <cell r="D9" t="str">
            <v>FTA CNG Station</v>
          </cell>
        </row>
        <row r="10">
          <cell r="C10">
            <v>7249</v>
          </cell>
          <cell r="D10" t="str">
            <v>FTA 5307 Urbanized Formula</v>
          </cell>
        </row>
        <row r="11">
          <cell r="C11">
            <v>7300</v>
          </cell>
          <cell r="D11" t="str">
            <v>STA</v>
          </cell>
        </row>
        <row r="12">
          <cell r="C12">
            <v>8212</v>
          </cell>
          <cell r="D12" t="str">
            <v xml:space="preserve">General Reimbursement </v>
          </cell>
        </row>
        <row r="13">
          <cell r="C13">
            <v>8236</v>
          </cell>
          <cell r="D13" t="str">
            <v>Farebox</v>
          </cell>
        </row>
        <row r="14">
          <cell r="C14">
            <v>8237</v>
          </cell>
          <cell r="D14" t="str">
            <v>Alta Regional Center</v>
          </cell>
        </row>
        <row r="15">
          <cell r="C15">
            <v>8238</v>
          </cell>
          <cell r="D15" t="str">
            <v>Vanpool Fares</v>
          </cell>
        </row>
        <row r="16">
          <cell r="C16">
            <v>8238</v>
          </cell>
          <cell r="D16" t="str">
            <v>Charter</v>
          </cell>
        </row>
        <row r="17">
          <cell r="C17">
            <v>8238</v>
          </cell>
          <cell r="D17" t="str">
            <v>Deferred Revenue</v>
          </cell>
        </row>
        <row r="18">
          <cell r="C18">
            <v>8238</v>
          </cell>
          <cell r="D18" t="str">
            <v>Other</v>
          </cell>
        </row>
        <row r="19">
          <cell r="C19">
            <v>8238</v>
          </cell>
          <cell r="D19" t="str">
            <v>APCD - CNG Station</v>
          </cell>
        </row>
        <row r="20">
          <cell r="C20">
            <v>8238</v>
          </cell>
          <cell r="D20" t="str">
            <v>SECAT - Buses</v>
          </cell>
        </row>
        <row r="21">
          <cell r="C21">
            <v>8266</v>
          </cell>
          <cell r="D21" t="str">
            <v>Mitigation fees</v>
          </cell>
        </row>
        <row r="22">
          <cell r="C22">
            <v>8750</v>
          </cell>
          <cell r="D22" t="str">
            <v>Sales of fixed Assets</v>
          </cell>
        </row>
        <row r="23">
          <cell r="C23">
            <v>8752</v>
          </cell>
          <cell r="D23" t="str">
            <v>Gain/Loss on F/A Disposal</v>
          </cell>
        </row>
        <row r="24">
          <cell r="C24">
            <v>8761</v>
          </cell>
          <cell r="D24" t="str">
            <v>Insurance Refunds</v>
          </cell>
        </row>
        <row r="25">
          <cell r="C25">
            <v>8762</v>
          </cell>
          <cell r="D25" t="str">
            <v>State Compensation Insurance Refund</v>
          </cell>
        </row>
        <row r="26">
          <cell r="C26">
            <v>8764</v>
          </cell>
          <cell r="D26" t="str">
            <v>Misc</v>
          </cell>
        </row>
        <row r="27">
          <cell r="C27">
            <v>8764</v>
          </cell>
          <cell r="D27" t="str">
            <v>Costs applied to TART</v>
          </cell>
        </row>
        <row r="28">
          <cell r="C28">
            <v>8780</v>
          </cell>
          <cell r="D28" t="str">
            <v>Costs applied to TART</v>
          </cell>
        </row>
        <row r="29">
          <cell r="C29">
            <v>8782</v>
          </cell>
          <cell r="D29" t="str">
            <v>Auburn</v>
          </cell>
        </row>
        <row r="30">
          <cell r="C30">
            <v>8782</v>
          </cell>
          <cell r="D30" t="str">
            <v>Colfax</v>
          </cell>
        </row>
        <row r="31">
          <cell r="C31">
            <v>8782</v>
          </cell>
          <cell r="D31" t="str">
            <v>Contribution for Commuter Bus</v>
          </cell>
        </row>
        <row r="32">
          <cell r="C32">
            <v>8782</v>
          </cell>
          <cell r="D32" t="str">
            <v>Lincoln</v>
          </cell>
        </row>
        <row r="33">
          <cell r="C33">
            <v>8782</v>
          </cell>
          <cell r="D33" t="str">
            <v>Loomis</v>
          </cell>
        </row>
        <row r="34">
          <cell r="C34">
            <v>8782</v>
          </cell>
          <cell r="D34" t="str">
            <v>Rocklin</v>
          </cell>
        </row>
        <row r="35">
          <cell r="C35">
            <v>8782</v>
          </cell>
          <cell r="D35" t="str">
            <v>Roseville</v>
          </cell>
        </row>
        <row r="36">
          <cell r="C36">
            <v>8782</v>
          </cell>
          <cell r="D36" t="str">
            <v>Credit PCT</v>
          </cell>
        </row>
        <row r="37">
          <cell r="C37">
            <v>8782</v>
          </cell>
          <cell r="D37" t="str">
            <v>SECAT - Buses</v>
          </cell>
        </row>
        <row r="38">
          <cell r="C38">
            <v>8782</v>
          </cell>
          <cell r="D38" t="str">
            <v>SECAT - CNG Station</v>
          </cell>
        </row>
        <row r="39">
          <cell r="C39">
            <v>8782</v>
          </cell>
          <cell r="D39" t="str">
            <v>APCD - CNG Station</v>
          </cell>
        </row>
        <row r="40">
          <cell r="C40">
            <v>8782</v>
          </cell>
          <cell r="D40" t="str">
            <v>PCTPA - CMAQ Advertising</v>
          </cell>
        </row>
        <row r="41">
          <cell r="C41">
            <v>8782</v>
          </cell>
          <cell r="D41" t="str">
            <v>Thunder Valley Casino</v>
          </cell>
        </row>
        <row r="42">
          <cell r="C42"/>
          <cell r="D42" t="str">
            <v>TOTAL</v>
          </cell>
        </row>
        <row r="43">
          <cell r="C43"/>
          <cell r="D43"/>
        </row>
        <row r="45">
          <cell r="C45">
            <v>6170</v>
          </cell>
        </row>
        <row r="46">
          <cell r="C46">
            <v>6950</v>
          </cell>
        </row>
        <row r="47">
          <cell r="C47">
            <v>7249</v>
          </cell>
        </row>
        <row r="48">
          <cell r="C48">
            <v>7300</v>
          </cell>
        </row>
        <row r="49">
          <cell r="C49">
            <v>8236</v>
          </cell>
        </row>
        <row r="50">
          <cell r="C50">
            <v>8237</v>
          </cell>
        </row>
        <row r="51">
          <cell r="C51">
            <v>8238</v>
          </cell>
        </row>
        <row r="52">
          <cell r="C52">
            <v>8764</v>
          </cell>
        </row>
        <row r="53">
          <cell r="C53">
            <v>8780</v>
          </cell>
        </row>
        <row r="54">
          <cell r="C54">
            <v>8782</v>
          </cell>
        </row>
        <row r="56">
          <cell r="C56"/>
          <cell r="D56"/>
        </row>
        <row r="57">
          <cell r="D57" t="str">
            <v xml:space="preserve">TART Revenue </v>
          </cell>
          <cell r="I57"/>
        </row>
        <row r="60">
          <cell r="C60">
            <v>6170</v>
          </cell>
          <cell r="D60" t="str">
            <v>LTF</v>
          </cell>
        </row>
        <row r="61">
          <cell r="C61">
            <v>6950</v>
          </cell>
          <cell r="D61" t="str">
            <v>Interest Revenue</v>
          </cell>
        </row>
        <row r="62">
          <cell r="C62">
            <v>7232</v>
          </cell>
          <cell r="D62" t="str">
            <v>West Slope Contr. Highway 89</v>
          </cell>
        </row>
        <row r="63">
          <cell r="C63">
            <v>7232</v>
          </cell>
          <cell r="D63" t="str">
            <v>West Slope Contr. - Additional</v>
          </cell>
        </row>
        <row r="64">
          <cell r="C64">
            <v>7232</v>
          </cell>
          <cell r="D64" t="str">
            <v>West Slope Contr. CNG Fueling</v>
          </cell>
        </row>
        <row r="65">
          <cell r="C65">
            <v>7232</v>
          </cell>
          <cell r="D65" t="str">
            <v>Rural Transit Systems Grant (Caltrans)</v>
          </cell>
        </row>
        <row r="66">
          <cell r="C66">
            <v>7249</v>
          </cell>
          <cell r="D66" t="str">
            <v>FTA Grant - Construction</v>
          </cell>
        </row>
        <row r="67">
          <cell r="C67">
            <v>7249</v>
          </cell>
          <cell r="D67" t="str">
            <v>FTA Grant - 5311 TRPA</v>
          </cell>
        </row>
        <row r="68">
          <cell r="C68">
            <v>7249</v>
          </cell>
          <cell r="D68" t="str">
            <v>FTA Grant - 5311 PCTPA</v>
          </cell>
        </row>
        <row r="69">
          <cell r="C69">
            <v>7249</v>
          </cell>
          <cell r="D69" t="str">
            <v>FTA 5311 - Buses</v>
          </cell>
        </row>
        <row r="70">
          <cell r="C70">
            <v>7249</v>
          </cell>
          <cell r="D70" t="str">
            <v xml:space="preserve">CMAQ - CNG </v>
          </cell>
        </row>
        <row r="71">
          <cell r="C71">
            <v>7249</v>
          </cell>
          <cell r="D71" t="str">
            <v>CMAQ for Bus</v>
          </cell>
        </row>
        <row r="72">
          <cell r="C72">
            <v>7249</v>
          </cell>
          <cell r="D72" t="str">
            <v>Other - for Buses</v>
          </cell>
        </row>
        <row r="73">
          <cell r="C73">
            <v>7300</v>
          </cell>
          <cell r="D73" t="str">
            <v>STA</v>
          </cell>
        </row>
        <row r="74">
          <cell r="C74">
            <v>7300</v>
          </cell>
          <cell r="D74" t="str">
            <v>STA West Slope Disc - CNG</v>
          </cell>
        </row>
        <row r="75">
          <cell r="C75">
            <v>8212</v>
          </cell>
          <cell r="D75" t="str">
            <v>Other General Reimbursement</v>
          </cell>
        </row>
        <row r="76">
          <cell r="C76">
            <v>8236</v>
          </cell>
          <cell r="D76" t="str">
            <v>Farebox</v>
          </cell>
        </row>
        <row r="77">
          <cell r="C77">
            <v>8238</v>
          </cell>
          <cell r="D77" t="str">
            <v>Deferred Revenue</v>
          </cell>
        </row>
        <row r="78">
          <cell r="C78">
            <v>8238</v>
          </cell>
          <cell r="D78" t="str">
            <v>SW Gas Refund - CNG Project</v>
          </cell>
        </row>
        <row r="79">
          <cell r="C79">
            <v>8238</v>
          </cell>
          <cell r="D79" t="str">
            <v>Other</v>
          </cell>
        </row>
        <row r="80">
          <cell r="C80">
            <v>8238</v>
          </cell>
          <cell r="D80" t="str">
            <v>PCT Loan for CNG</v>
          </cell>
        </row>
        <row r="81">
          <cell r="C81">
            <v>8761</v>
          </cell>
          <cell r="D81" t="str">
            <v>Insurance Refunds</v>
          </cell>
        </row>
        <row r="82">
          <cell r="C82">
            <v>8762</v>
          </cell>
          <cell r="D82" t="str">
            <v>State Comp Ins Refund</v>
          </cell>
        </row>
        <row r="83">
          <cell r="C83">
            <v>8764</v>
          </cell>
          <cell r="D83" t="str">
            <v>Miscellaneous Revenue</v>
          </cell>
        </row>
        <row r="84">
          <cell r="C84">
            <v>8780</v>
          </cell>
          <cell r="D84" t="str">
            <v>Contribution for facility</v>
          </cell>
        </row>
        <row r="85">
          <cell r="C85">
            <v>8780</v>
          </cell>
          <cell r="D85" t="str">
            <v>Tahoe Engineering for Office Lease</v>
          </cell>
        </row>
        <row r="86">
          <cell r="C86">
            <v>8780</v>
          </cell>
          <cell r="D86" t="str">
            <v>PCT Loan for TART Operations</v>
          </cell>
        </row>
        <row r="87">
          <cell r="C87">
            <v>8782</v>
          </cell>
          <cell r="D87" t="str">
            <v>RTC - Incline Village</v>
          </cell>
        </row>
        <row r="88">
          <cell r="C88">
            <v>8782</v>
          </cell>
          <cell r="D88" t="str">
            <v>Trolley Service Contract</v>
          </cell>
        </row>
        <row r="89">
          <cell r="C89">
            <v>8782</v>
          </cell>
          <cell r="D89" t="str">
            <v>NLTRA for Added Services</v>
          </cell>
        </row>
        <row r="90">
          <cell r="C90">
            <v>8782</v>
          </cell>
          <cell r="D90" t="str">
            <v>TRPA Air Quality - Buses</v>
          </cell>
        </row>
        <row r="91">
          <cell r="C91">
            <v>8782</v>
          </cell>
          <cell r="D91" t="str">
            <v>TRPA Air Quality - CNG Fueling</v>
          </cell>
        </row>
        <row r="92">
          <cell r="C92">
            <v>8782</v>
          </cell>
          <cell r="D92" t="str">
            <v>Other - CNG</v>
          </cell>
        </row>
        <row r="93">
          <cell r="C93">
            <v>8782</v>
          </cell>
          <cell r="D93" t="str">
            <v>Highway 89 Resorts</v>
          </cell>
        </row>
        <row r="94">
          <cell r="C94">
            <v>8782</v>
          </cell>
          <cell r="D94" t="str">
            <v>Truckee Highway 89 Contract</v>
          </cell>
        </row>
        <row r="95">
          <cell r="C95">
            <v>8782</v>
          </cell>
          <cell r="D95" t="str">
            <v>Truckee Bus Contribution</v>
          </cell>
        </row>
        <row r="96">
          <cell r="C96">
            <v>8782</v>
          </cell>
          <cell r="D96" t="str">
            <v>RTC ADA Contribution</v>
          </cell>
        </row>
        <row r="97">
          <cell r="C97">
            <v>8782</v>
          </cell>
          <cell r="D97" t="str">
            <v xml:space="preserve"> Grant/Other</v>
          </cell>
        </row>
        <row r="98">
          <cell r="C98">
            <v>8782</v>
          </cell>
          <cell r="D98" t="str">
            <v>RTC - Contribution to Buses</v>
          </cell>
        </row>
        <row r="99">
          <cell r="C99">
            <v>8782</v>
          </cell>
          <cell r="D99" t="str">
            <v>TTD Car Rental Mitigation</v>
          </cell>
        </row>
        <row r="100">
          <cell r="C100">
            <v>8782</v>
          </cell>
          <cell r="D100" t="str">
            <v xml:space="preserve">Office Space Lease </v>
          </cell>
        </row>
        <row r="101">
          <cell r="C101">
            <v>8782</v>
          </cell>
          <cell r="D101" t="str">
            <v>PCAPCD AB2766</v>
          </cell>
        </row>
        <row r="102">
          <cell r="C102">
            <v>8782</v>
          </cell>
          <cell r="D102" t="str">
            <v>PCAPCD Mitigation Funds</v>
          </cell>
        </row>
        <row r="103">
          <cell r="C103">
            <v>8782</v>
          </cell>
          <cell r="D103" t="str">
            <v>SECAT - CNG Pipeline</v>
          </cell>
        </row>
        <row r="104">
          <cell r="C104">
            <v>8782</v>
          </cell>
          <cell r="D104" t="str">
            <v>El Dorado County</v>
          </cell>
        </row>
        <row r="105">
          <cell r="C105">
            <v>8782</v>
          </cell>
          <cell r="D105" t="str">
            <v>Other Bus Funding</v>
          </cell>
        </row>
        <row r="106">
          <cell r="C106">
            <v>8953</v>
          </cell>
          <cell r="D106" t="str">
            <v>Loan fr PCT</v>
          </cell>
        </row>
        <row r="107">
          <cell r="D107" t="str">
            <v>TOTAL</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itions"/>
      <sheetName val="ExHelp"/>
      <sheetName val="vanpool"/>
      <sheetName val="Prchsd Svcs#2555"/>
      <sheetName val="Revenue"/>
      <sheetName val="PCT Revenue"/>
      <sheetName val="TART Rev"/>
      <sheetName val="PassRev"/>
      <sheetName val="New TART"/>
      <sheetName val="SalaryCalc"/>
      <sheetName val="Fuel - 2770"/>
      <sheetName val="Analysis"/>
      <sheetName val="Sheet12"/>
      <sheetName val="Sheet13"/>
      <sheetName val="Sheet14"/>
      <sheetName val="Sheet15"/>
      <sheetName val="Sheet16"/>
    </sheetNames>
    <sheetDataSet>
      <sheetData sheetId="0"/>
      <sheetData sheetId="1"/>
      <sheetData sheetId="2"/>
      <sheetData sheetId="3"/>
      <sheetData sheetId="4">
        <row r="1">
          <cell r="B1" t="str">
            <v>Placer County Transit Revenue</v>
          </cell>
        </row>
        <row r="3">
          <cell r="A3" t="str">
            <v>OL3</v>
          </cell>
          <cell r="B3" t="str">
            <v>Source</v>
          </cell>
        </row>
        <row r="4">
          <cell r="A4">
            <v>6170</v>
          </cell>
          <cell r="B4" t="str">
            <v>LTF</v>
          </cell>
        </row>
        <row r="5">
          <cell r="A5">
            <v>6950</v>
          </cell>
          <cell r="B5" t="str">
            <v>Interest Revenue</v>
          </cell>
        </row>
        <row r="6">
          <cell r="A6">
            <v>7249</v>
          </cell>
          <cell r="B6" t="str">
            <v>CMAQ - Buses</v>
          </cell>
        </row>
        <row r="7">
          <cell r="A7">
            <v>7249</v>
          </cell>
          <cell r="B7" t="str">
            <v>CMAQ - Commuter Service</v>
          </cell>
        </row>
        <row r="8">
          <cell r="A8">
            <v>7249</v>
          </cell>
          <cell r="B8" t="str">
            <v>FTA 5307 Urbanized Formula</v>
          </cell>
        </row>
        <row r="9">
          <cell r="A9">
            <v>7249</v>
          </cell>
          <cell r="B9" t="str">
            <v>FTA 5311 (Colfax &amp; Loomis)</v>
          </cell>
        </row>
        <row r="10">
          <cell r="A10">
            <v>7249</v>
          </cell>
          <cell r="B10" t="str">
            <v>FTA CNG Station</v>
          </cell>
        </row>
        <row r="11">
          <cell r="A11">
            <v>7300</v>
          </cell>
          <cell r="B11" t="str">
            <v>STA</v>
          </cell>
        </row>
        <row r="12">
          <cell r="A12">
            <v>8236</v>
          </cell>
          <cell r="B12" t="str">
            <v>Farebox</v>
          </cell>
        </row>
        <row r="13">
          <cell r="A13">
            <v>8237</v>
          </cell>
          <cell r="B13" t="str">
            <v>Alta Regional Center</v>
          </cell>
        </row>
        <row r="14">
          <cell r="A14">
            <v>8237</v>
          </cell>
          <cell r="B14" t="str">
            <v>Vanpool Fares</v>
          </cell>
        </row>
        <row r="15">
          <cell r="A15">
            <v>8238</v>
          </cell>
          <cell r="B15" t="str">
            <v>Deferred Revenue</v>
          </cell>
        </row>
        <row r="16">
          <cell r="A16">
            <v>8780</v>
          </cell>
          <cell r="B16" t="str">
            <v>Costs applied to TART</v>
          </cell>
        </row>
        <row r="17">
          <cell r="A17">
            <v>8782</v>
          </cell>
          <cell r="B17" t="str">
            <v>APCD - CNG Station</v>
          </cell>
        </row>
        <row r="18">
          <cell r="A18">
            <v>8782</v>
          </cell>
          <cell r="B18" t="str">
            <v>Auburn</v>
          </cell>
        </row>
        <row r="19">
          <cell r="A19">
            <v>8782</v>
          </cell>
          <cell r="B19" t="str">
            <v>Colfax</v>
          </cell>
        </row>
        <row r="20">
          <cell r="A20">
            <v>8782</v>
          </cell>
          <cell r="B20" t="str">
            <v>Contribution for Commuter Bus</v>
          </cell>
        </row>
        <row r="21">
          <cell r="A21">
            <v>8782</v>
          </cell>
          <cell r="B21" t="str">
            <v>Lincoln</v>
          </cell>
        </row>
        <row r="22">
          <cell r="A22">
            <v>8782</v>
          </cell>
          <cell r="B22" t="str">
            <v>Loomis</v>
          </cell>
        </row>
        <row r="23">
          <cell r="A23">
            <v>8782</v>
          </cell>
          <cell r="B23" t="str">
            <v>Rocklin</v>
          </cell>
        </row>
        <row r="24">
          <cell r="A24">
            <v>8782</v>
          </cell>
          <cell r="B24" t="str">
            <v>Roseville</v>
          </cell>
        </row>
        <row r="25">
          <cell r="A25">
            <v>8782</v>
          </cell>
          <cell r="B25" t="str">
            <v>SECAT - Buses</v>
          </cell>
        </row>
        <row r="26">
          <cell r="A26">
            <v>8782</v>
          </cell>
          <cell r="B26" t="str">
            <v>SECAT - CNG Station</v>
          </cell>
        </row>
        <row r="27">
          <cell r="A27">
            <v>8782</v>
          </cell>
          <cell r="B27" t="str">
            <v>Thunder Valley Casino</v>
          </cell>
        </row>
        <row r="28">
          <cell r="B28" t="str">
            <v>TOTAL</v>
          </cell>
        </row>
        <row r="31">
          <cell r="A31">
            <v>6170</v>
          </cell>
        </row>
        <row r="32">
          <cell r="A32">
            <v>6950</v>
          </cell>
        </row>
        <row r="33">
          <cell r="A33">
            <v>7249</v>
          </cell>
        </row>
        <row r="34">
          <cell r="A34">
            <v>7300</v>
          </cell>
        </row>
        <row r="35">
          <cell r="A35">
            <v>8236</v>
          </cell>
        </row>
        <row r="36">
          <cell r="A36">
            <v>8237</v>
          </cell>
        </row>
        <row r="37">
          <cell r="A37">
            <v>8238</v>
          </cell>
        </row>
        <row r="38">
          <cell r="A38">
            <v>8764</v>
          </cell>
        </row>
        <row r="39">
          <cell r="A39">
            <v>8780</v>
          </cell>
        </row>
        <row r="40">
          <cell r="A40">
            <v>8782</v>
          </cell>
        </row>
        <row r="43">
          <cell r="B43" t="str">
            <v xml:space="preserve">TART Revenue </v>
          </cell>
        </row>
        <row r="46">
          <cell r="A46">
            <v>6170</v>
          </cell>
          <cell r="B46" t="str">
            <v>LTF</v>
          </cell>
        </row>
        <row r="47">
          <cell r="A47">
            <v>6950</v>
          </cell>
          <cell r="B47" t="str">
            <v>Interest Revenue</v>
          </cell>
        </row>
        <row r="48">
          <cell r="A48">
            <v>7232</v>
          </cell>
          <cell r="B48" t="str">
            <v>West Slope Contr. Highway 89</v>
          </cell>
        </row>
        <row r="49">
          <cell r="A49">
            <v>7232</v>
          </cell>
          <cell r="B49" t="str">
            <v>West Slope Contr. CNG Fueling</v>
          </cell>
        </row>
        <row r="50">
          <cell r="A50">
            <v>7249</v>
          </cell>
          <cell r="B50" t="str">
            <v>FTA Grant - Construction</v>
          </cell>
        </row>
        <row r="51">
          <cell r="A51">
            <v>7249</v>
          </cell>
          <cell r="B51" t="str">
            <v>FTA Grant - 5311 TRPA</v>
          </cell>
        </row>
        <row r="52">
          <cell r="A52">
            <v>7249</v>
          </cell>
          <cell r="B52" t="str">
            <v>FTA Grant - 5311 PCTPA</v>
          </cell>
        </row>
        <row r="53">
          <cell r="A53">
            <v>7249</v>
          </cell>
          <cell r="B53" t="str">
            <v>FTA 5311 - Buses</v>
          </cell>
        </row>
        <row r="54">
          <cell r="A54">
            <v>7249</v>
          </cell>
          <cell r="B54" t="str">
            <v xml:space="preserve">CMAQ - CNG </v>
          </cell>
        </row>
        <row r="55">
          <cell r="A55">
            <v>7249</v>
          </cell>
          <cell r="B55" t="str">
            <v>CMAQ for Bus</v>
          </cell>
        </row>
        <row r="56">
          <cell r="A56">
            <v>7249</v>
          </cell>
          <cell r="B56" t="str">
            <v>Other - for Buses</v>
          </cell>
        </row>
        <row r="57">
          <cell r="A57">
            <v>7300</v>
          </cell>
          <cell r="B57" t="str">
            <v>STA</v>
          </cell>
        </row>
        <row r="58">
          <cell r="A58">
            <v>7300</v>
          </cell>
          <cell r="B58" t="str">
            <v>STA West Slope Disc - CNG</v>
          </cell>
        </row>
        <row r="59">
          <cell r="A59">
            <v>8212</v>
          </cell>
          <cell r="B59" t="str">
            <v>Other General Reimbursement</v>
          </cell>
        </row>
        <row r="60">
          <cell r="A60">
            <v>8236</v>
          </cell>
          <cell r="B60" t="str">
            <v>Farebox</v>
          </cell>
        </row>
        <row r="61">
          <cell r="A61">
            <v>8238</v>
          </cell>
          <cell r="B61" t="str">
            <v>Deferred Revenue</v>
          </cell>
        </row>
        <row r="62">
          <cell r="A62">
            <v>8238</v>
          </cell>
          <cell r="B62" t="str">
            <v>Other</v>
          </cell>
        </row>
        <row r="63">
          <cell r="A63">
            <v>8761</v>
          </cell>
          <cell r="B63" t="str">
            <v>Insurance Refunds</v>
          </cell>
        </row>
        <row r="64">
          <cell r="A64">
            <v>8762</v>
          </cell>
          <cell r="B64" t="str">
            <v>State Comp Ins Refund</v>
          </cell>
        </row>
        <row r="65">
          <cell r="A65">
            <v>8764</v>
          </cell>
          <cell r="B65" t="str">
            <v>Miscellaneous Revenue</v>
          </cell>
        </row>
        <row r="66">
          <cell r="A66">
            <v>8780</v>
          </cell>
          <cell r="B66" t="str">
            <v>Contribution for facility</v>
          </cell>
        </row>
        <row r="67">
          <cell r="A67">
            <v>8780</v>
          </cell>
          <cell r="B67" t="str">
            <v>Tahoe Engineering for Office Lease</v>
          </cell>
        </row>
        <row r="68">
          <cell r="A68">
            <v>8782</v>
          </cell>
          <cell r="B68" t="str">
            <v>RTC - Incline Village</v>
          </cell>
        </row>
        <row r="69">
          <cell r="A69">
            <v>8782</v>
          </cell>
          <cell r="B69" t="str">
            <v>Trolley Service Contract</v>
          </cell>
        </row>
        <row r="70">
          <cell r="A70">
            <v>8782</v>
          </cell>
          <cell r="B70" t="str">
            <v>TRPA Air Quality - Buses</v>
          </cell>
        </row>
        <row r="71">
          <cell r="A71">
            <v>8782</v>
          </cell>
          <cell r="B71" t="str">
            <v>TRPA Air Quality - CNG Fueling</v>
          </cell>
        </row>
        <row r="72">
          <cell r="A72">
            <v>8782</v>
          </cell>
          <cell r="B72" t="str">
            <v>Other - CNG</v>
          </cell>
        </row>
        <row r="73">
          <cell r="A73">
            <v>8782</v>
          </cell>
          <cell r="B73" t="str">
            <v>Highway 89 Resorts</v>
          </cell>
        </row>
        <row r="74">
          <cell r="A74">
            <v>8782</v>
          </cell>
          <cell r="B74" t="str">
            <v>Truckee Highway 89 Contract</v>
          </cell>
        </row>
        <row r="75">
          <cell r="A75">
            <v>8782</v>
          </cell>
          <cell r="B75" t="str">
            <v>Truckee Bus Contribution</v>
          </cell>
        </row>
        <row r="76">
          <cell r="A76">
            <v>8782</v>
          </cell>
          <cell r="B76" t="str">
            <v>RTC ADA Contribution</v>
          </cell>
        </row>
        <row r="77">
          <cell r="A77">
            <v>8782</v>
          </cell>
          <cell r="B77" t="str">
            <v xml:space="preserve"> Grant/Other</v>
          </cell>
        </row>
        <row r="78">
          <cell r="A78">
            <v>8782</v>
          </cell>
          <cell r="B78" t="str">
            <v>RTC - Contribution to Buses</v>
          </cell>
        </row>
        <row r="79">
          <cell r="A79">
            <v>8782</v>
          </cell>
          <cell r="B79" t="str">
            <v>TTD Car Rental Mitigation</v>
          </cell>
        </row>
        <row r="80">
          <cell r="A80">
            <v>8782</v>
          </cell>
          <cell r="B80" t="str">
            <v xml:space="preserve">Office Space Lease </v>
          </cell>
        </row>
        <row r="81">
          <cell r="A81">
            <v>8782</v>
          </cell>
          <cell r="B81" t="str">
            <v>PCAPCD AB2766</v>
          </cell>
        </row>
        <row r="82">
          <cell r="A82">
            <v>8782</v>
          </cell>
          <cell r="B82" t="str">
            <v>PCAPCD Mitigation Funds</v>
          </cell>
        </row>
        <row r="83">
          <cell r="A83">
            <v>8782</v>
          </cell>
          <cell r="B83" t="str">
            <v>SECAT - CNG Pipeline</v>
          </cell>
        </row>
        <row r="84">
          <cell r="A84">
            <v>8782</v>
          </cell>
          <cell r="B84" t="str">
            <v>El Dorado County</v>
          </cell>
        </row>
        <row r="85">
          <cell r="A85">
            <v>8782</v>
          </cell>
          <cell r="B85" t="str">
            <v>Other Bus Funding</v>
          </cell>
        </row>
        <row r="86">
          <cell r="A86">
            <v>8953</v>
          </cell>
          <cell r="B86" t="str">
            <v>Loan fr PCT</v>
          </cell>
        </row>
        <row r="87">
          <cell r="B87" t="str">
            <v>TOTAL</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hoe_final"/>
      <sheetName val="Tahoe sort for visitor"/>
      <sheetName val="Input"/>
      <sheetName val="Output"/>
      <sheetName val="95 Socio"/>
      <sheetName val="Veh Occ"/>
      <sheetName val="Travel Mode"/>
      <sheetName val="Tahoe Valley CP"/>
      <sheetName val="SLT Travel Mode Summary"/>
      <sheetName val="S Stateline"/>
      <sheetName val="N Stateline NoCasino"/>
      <sheetName val="N Casino"/>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6"/>
      <sheetName val="7"/>
      <sheetName val="8"/>
      <sheetName val="9"/>
      <sheetName val="10"/>
      <sheetName val="13"/>
      <sheetName val="14"/>
      <sheetName val="15"/>
      <sheetName val="16"/>
      <sheetName val="17"/>
      <sheetName val="20"/>
      <sheetName val="21"/>
      <sheetName val="22"/>
      <sheetName val="23"/>
      <sheetName val="24"/>
      <sheetName val="27"/>
      <sheetName val="28"/>
      <sheetName val="29"/>
      <sheetName val="30"/>
      <sheetName val="31"/>
      <sheetName val="Sat 4"/>
      <sheetName val="Sat 11"/>
      <sheetName val="Sat 18"/>
      <sheetName val="Sat 25"/>
      <sheetName val="Sat E"/>
      <sheetName val="Sun 5"/>
      <sheetName val="Sun 12"/>
      <sheetName val="Sun 19"/>
      <sheetName val="Sun 26"/>
      <sheetName val="Sun E"/>
      <sheetName val="RT 21"/>
      <sheetName val="RT 21 SAT"/>
      <sheetName val="RT 21 SUN"/>
      <sheetName val="RT 23"/>
      <sheetName val="RT 23 SAT"/>
      <sheetName val="RT 23 SUN"/>
      <sheetName val="RT 24"/>
      <sheetName val="RT 24 SAT"/>
      <sheetName val="RT 24 SUN"/>
      <sheetName val="RT 25"/>
      <sheetName val="WEEKDAY"/>
      <sheetName val="SATURDAY"/>
      <sheetName val="SUNDAY"/>
      <sheetName val="MILEAGE SUM"/>
      <sheetName val="AVILA"/>
      <sheetName val="LOPEZ"/>
      <sheetName val="OP 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Employ"/>
      <sheetName val="T-2 EmpBySector"/>
      <sheetName val="T-3 CmmtrData"/>
      <sheetName val="T4&amp;5, F4&amp;5"/>
      <sheetName val="T-6 MajEmploy."/>
      <sheetName val="T-7 ProjPop"/>
      <sheetName val="F-6 ProjPop"/>
      <sheetName val="T-8 Housing"/>
      <sheetName val="T-9 Demog"/>
      <sheetName val="T-10 Fares"/>
      <sheetName val="T-11 MultiRide"/>
      <sheetName val="F-12 TDA Flow Chart"/>
      <sheetName val="T-12 PCT PxbyRte"/>
      <sheetName val="T-13 PCT BoardingHr"/>
      <sheetName val="T-14 PCT On-Off"/>
      <sheetName val="T-15 PCT VSM&amp;VSH"/>
      <sheetName val="T-16 PCT Fleet"/>
      <sheetName val="T-17 PCT Revs"/>
      <sheetName val="T-18 PCT Cost Model"/>
      <sheetName val="T-19 PCT Perf"/>
      <sheetName val="F14 to F18 PCT Perf"/>
      <sheetName val="F-19 Aub PxMo"/>
      <sheetName val="T-20 Aub On-Off"/>
      <sheetName val="T-21 Aub RtDevs"/>
      <sheetName val="T-22 Aub Fleet"/>
      <sheetName val="T-23 Aub Rev"/>
      <sheetName val="T-24 Aub Cost Model"/>
      <sheetName val="T-25 Aub Perf"/>
      <sheetName val="F20 to F24 Aub Perf"/>
      <sheetName val="T-26 Linc PxMo"/>
      <sheetName val="T-27 Linc On-Off"/>
      <sheetName val="T-28 Linc Fleet"/>
      <sheetName val="T-29 Linc Rev"/>
      <sheetName val="T-30 Linc Cost Model"/>
      <sheetName val="T-31 Linc Perf"/>
      <sheetName val="F25 to F29 Linc Perf"/>
      <sheetName val="T-32 R'Ville AnnPx"/>
      <sheetName val="T-33 R'Ville MoPx"/>
      <sheetName val="T-34 R'Ville ByRte"/>
      <sheetName val="T35 R'Ville ByDay"/>
      <sheetName val="T36 R'ville PxByHr"/>
      <sheetName val="T37 R'ville On-Off"/>
      <sheetName val="T-38 R'Ville Commuter"/>
      <sheetName val="T-39 R'ville VSH"/>
      <sheetName val="T-40 R'Ville VSM"/>
      <sheetName val="T-41 R'Ville Fleet"/>
      <sheetName val="T-42 R'ville PNR"/>
      <sheetName val="T-43 R'Ville Revs"/>
      <sheetName val="T-44 R'Ville Cost Model"/>
      <sheetName val="T-45 R'Ville Perf"/>
      <sheetName val="F30 to F34 R'Ville Perf"/>
      <sheetName val="T-46 CTSA MoPx"/>
      <sheetName val="T-47 CTSA VSH"/>
      <sheetName val="T-48 CTSA VSM"/>
      <sheetName val="T-49 CTSA Fleet"/>
      <sheetName val="T-50 CTSA Revs"/>
      <sheetName val="T-51 CTSA Cost Model "/>
      <sheetName val="T-52 CTSA Perf"/>
      <sheetName val="F35 to F39 CTSA Perf"/>
      <sheetName val="T-53 Summary"/>
      <sheetName val="T-54 GLI Departures"/>
      <sheetName val="T-55 SumDem Tract"/>
      <sheetName val="T-56 Commuters"/>
      <sheetName val="F40 Demand Summary"/>
      <sheetName val="T57 2002 Interchange"/>
      <sheetName val="F41 Interchange"/>
      <sheetName val="T58 2005 Interchange"/>
      <sheetName val="PCT Elasticity"/>
      <sheetName val="PCT HrMi Per Run"/>
      <sheetName val="PCT New Devel"/>
      <sheetName val="PCT Fare Increases"/>
      <sheetName val="PCT Stanford Ranch PX"/>
      <sheetName val="PCT Unincorp W SW Roseville"/>
      <sheetName val="PCT FR TOD"/>
      <sheetName val="Aub Px per Hr"/>
      <sheetName val="Auburn New Svc Area"/>
      <sheetName val="Auburn Deviations"/>
      <sheetName val="Auburn Station"/>
      <sheetName val="Auburn Elasticity"/>
      <sheetName val="Auburn Fare Increases"/>
      <sheetName val="Auburn 01-02 Summary"/>
      <sheetName val="Auburn Sat-Sun Svc"/>
      <sheetName val="Linc New Serv Area"/>
      <sheetName val="Lincoln Elasticity"/>
      <sheetName val="Lincoln Fare Increases"/>
      <sheetName val="Linc Hrs &amp; Mi"/>
      <sheetName val="RVille CapCor Px"/>
      <sheetName val="RVille Fare Increases"/>
      <sheetName val="RVille Elasticity"/>
      <sheetName val="R'Ville SierCol to Gall"/>
      <sheetName val="RVille EDCTA Departures 2002"/>
      <sheetName val="RVille EDCTA Departures 2003"/>
      <sheetName val="RVille HrMi Per Run"/>
      <sheetName val="RVille Misc Calcs"/>
      <sheetName val="RVille Stnrdge &amp; Highlands Px"/>
      <sheetName val="RVille New Rt M Loop Px"/>
      <sheetName val="R'Ville to Sierra College"/>
      <sheetName val="R'Ville to Light Rail"/>
      <sheetName val="CTSA ALTS"/>
      <sheetName val="Lincoln ALTS"/>
      <sheetName val="Hwy 49 wk-sat"/>
      <sheetName val="Taylr wk-sat"/>
      <sheetName val="RockLoom wk-sat"/>
      <sheetName val="GB weekdays"/>
      <sheetName val="Allocations"/>
      <sheetName val="AppA"/>
      <sheetName val="1990 BG Demo"/>
      <sheetName val="T-B1 2000 Dem. Table"/>
      <sheetName val="T-B2 2005 Dem. Table"/>
      <sheetName val="T-B3 2010 Dem. Table"/>
      <sheetName val="T-C1A 49 NB On-Off"/>
      <sheetName val="T-C1B 49 SB On-Off"/>
      <sheetName val="T-C1C 49 Sat On-Off"/>
      <sheetName val="TC1-D Sierra College On-Off"/>
      <sheetName val="TC1-E Sierra College On-Off Sat"/>
      <sheetName val="T-C1F Aub-LR On-Off Tue1"/>
      <sheetName val="T-C1G Aub-LR On-Off Tues2"/>
      <sheetName val="T-C1H Aub-LR On-Off Thurs"/>
      <sheetName val="T-C1I Auburn-LR On-Off Sat"/>
      <sheetName val="T-C1J Colfax-Alta On-Off"/>
      <sheetName val="T-C1K Taylor(Tues) On-Off"/>
      <sheetName val="T-C1LTaylor(Thurs) On-Off"/>
      <sheetName val="T-C1M Lincoln On-Off"/>
      <sheetName val="T-C2A Auburn Red On-Off"/>
      <sheetName val="T-C2B Auburn-Blue On-Off"/>
      <sheetName val="T-C3A Linc 102 On-Off"/>
      <sheetName val="T-C3B Linc 202 On-Off"/>
      <sheetName val="T-C3C Linc 203 On-Off"/>
      <sheetName val="T-C4A R'Ville RtA (Wkdy) On-Off"/>
      <sheetName val="T-C4B R'Ville RtA (Sat) On-Off"/>
      <sheetName val="T-C4C R'Ville RtB (Wkdy) On-Off"/>
      <sheetName val="T-C4D R'Ville RtB (Sat) On-Off"/>
      <sheetName val="T-C4E R'Ville RtC (Tue) On-Off"/>
      <sheetName val="T-C4F R'Ville RtC (Wed) On-Off"/>
      <sheetName val="T-C4G R'Ville RtC (Thu) On-Off"/>
      <sheetName val="T-C4H R'Ville RtC (Sat) On-Off"/>
      <sheetName val="T-C4I R'Ville RtD (Tue) On-Off"/>
      <sheetName val="T-C4J R'Ville RtD (Wed) On-Off"/>
      <sheetName val="T-C4K R'Ville RtD (Sat) On-Off"/>
      <sheetName val="T-C4L R'Ville RtE (Wkdy) On-Off"/>
      <sheetName val="T-C4M R'Ville RtE (Sat) On-Off"/>
      <sheetName val="T-C4N R'Ville RtJ (Wkdy) On-Off"/>
      <sheetName val="T-C4O R'Ville RtJ (Sat) On-Off"/>
      <sheetName val="T-C4P R'Ville RtK (Wkdy) On-Off"/>
      <sheetName val="T-C4Q R'Ville RtK (Sat) On-Off"/>
      <sheetName val="T-C4R R'Ville RtM (Wkdy) On-Off"/>
      <sheetName val="T-C4S R'Ville RtM (Sat) On-Off"/>
      <sheetName val="T-C4T R'Ville RtR On-Off"/>
      <sheetName val="T-C4U R'Ville Com1 On-Off"/>
      <sheetName val="T-C4V R'Ville Com2 On-Off"/>
      <sheetName val="T-C4W R'Ville Com3 On-Off"/>
      <sheetName val="T-C4X R'Ville Com4 On-Off"/>
      <sheetName val="T-C4Y R'Ville Com5 On-Off"/>
      <sheetName val="T-C4Z R'Ville Com6 On-Off"/>
      <sheetName val="T-D1A 49 SB SkedAdher"/>
      <sheetName val="T-D1B 49 NB SkedAdher"/>
      <sheetName val="T-D1C NAuburn SkedAdher"/>
      <sheetName val="T-D1D Sierra College SkedAdher"/>
      <sheetName val="T-D1E Aub-LR(Tues1) SkedAdher"/>
      <sheetName val="T-D1F Aub-LR(Tues2) SkedAdher"/>
      <sheetName val="T-D1G Aub-LR(Thur) SkedAdher"/>
      <sheetName val="T-D1H Colfax-Alta SkedAdher"/>
      <sheetName val="T-D1I Taylor(Tues) SkedAdher"/>
      <sheetName val="T-D1J Taylor(Thur) SkedAdher"/>
      <sheetName val="T-D1K Lincoln SkedAdher"/>
      <sheetName val="T-D2A Auburn-Red SkedAdher"/>
      <sheetName val="T-D2B Aub-Blue SkedAdher"/>
      <sheetName val="T-D3A Linc 102 SkedAdher"/>
      <sheetName val="T-D3B Linc 202 SkedAdher"/>
      <sheetName val="T-D3C Linc 203 SkedAdher"/>
      <sheetName val="T-D4A R'Ville RtA SkedAd"/>
      <sheetName val="T-D4B R'Ville RtB SkedAd"/>
      <sheetName val="T-D4C R'Ville RtC SkedAd"/>
      <sheetName val="T-D4D R'Ville RtC-Rev SkedAd"/>
      <sheetName val="T-D4E R'Ville RtD SkedAd"/>
      <sheetName val="T-D4F R'Ville RtDRev SkedAd"/>
      <sheetName val="T-D4G R'Ville RtE SkedAd"/>
      <sheetName val="T-D4H R'Ville RtJ SkedAd"/>
      <sheetName val="T-D4I R'Ville RtJRev SkedAd"/>
      <sheetName val="T-D4J R'Ville RtK SkedAd"/>
      <sheetName val="T-D4K R'Ville RtKRev SkedAd"/>
      <sheetName val="T-D4L R'Ville RtM SkedAd"/>
      <sheetName val="T-D4M R'Ville RtR SkedAd"/>
      <sheetName val="T-D4N R'Ville Com1 SkedAd"/>
      <sheetName val="T-D4O R'Ville Com2 SkedAd"/>
      <sheetName val="T-D4P R'Ville Com3 SkedAd"/>
      <sheetName val="T-D4R R'Ville Com4 SkedAd"/>
      <sheetName val="T-D4S R'Ville Com5 SkedAd"/>
      <sheetName val="T-D4T R'Ville Com6 SkedAd"/>
      <sheetName val="SF3 Part 1"/>
      <sheetName val="SF1 Part 1"/>
      <sheetName val="2000 Nationwide MobLtd 2"/>
      <sheetName val="2000sacog"/>
      <sheetName val="2005"/>
      <sheetName val="2010"/>
      <sheetName val="2020"/>
      <sheetName val="sqmile~1"/>
      <sheetName val="PCT Costs"/>
      <sheetName val="R'Ville Peak FR"/>
      <sheetName val="R'Ville Peak Commuter"/>
      <sheetName val="DAR General Fares"/>
      <sheetName val="FR General Fares "/>
      <sheetName val="PCT AnnFare"/>
      <sheetName val="R'Ville Existing Rts"/>
      <sheetName val="CTSA ride summary"/>
      <sheetName val="Hwy 49 all"/>
      <sheetName val="Taylr all"/>
      <sheetName val="RockLoom all"/>
      <sheetName val="Route Highway 49 raw data"/>
      <sheetName val="Route Highway 49 raw data (2)"/>
      <sheetName val="Highway 49 raw data (sat)"/>
      <sheetName val="Sierra College raw data"/>
      <sheetName val="Sierra College raw data (2)"/>
      <sheetName val="Sierra College raw data (sat)"/>
      <sheetName val="Auburn-Light Rail raw data"/>
      <sheetName val="Auburn-Light Rail raw data (2)"/>
      <sheetName val="Auburn-LR raw data(sat)"/>
      <sheetName val="PCT Colfax-Alta AM raw data"/>
      <sheetName val="PCT Colfax-Alta PM raw data"/>
      <sheetName val="PCT Taylor (Tues) raw data"/>
      <sheetName val="PCT Taylor (Thurs) raw data"/>
      <sheetName val="PCT Lincoln raw data"/>
      <sheetName val="Auburn-Red raw data"/>
      <sheetName val="Auburn-Blue raw data"/>
      <sheetName val="Linc 102 730 raw data"/>
      <sheetName val="Linc 202 945 raw data"/>
      <sheetName val="Linc 203 845 raw data"/>
      <sheetName val="R'Ville RtA (Wkdy) raw data"/>
      <sheetName val="R'Ville Rte A (Sat) raw data"/>
      <sheetName val="R'Ville RtB (Wkdy) raw data"/>
      <sheetName val="R'Ville RtB (Sat) raw data"/>
      <sheetName val="R'Ville RtC (Wkdy) raw data"/>
      <sheetName val="R'Ville RtC (Wkdy) raw data 2"/>
      <sheetName val="R'Ville RtC (Sat) raw data"/>
      <sheetName val="R'Ville RtD (Wkdy) raw data"/>
      <sheetName val="R'Ville RtD (Sat) raw data"/>
      <sheetName val="R'Ville RtE (Wkdy) raw data"/>
      <sheetName val="R'Ville RtE (Sat) raw data"/>
      <sheetName val="R'Ville RtJ (Wkdy) raw data"/>
      <sheetName val="R'Ville RtJ (Sat) raw data"/>
      <sheetName val="R'Ville RtK (Wkdy) raw data"/>
      <sheetName val="R'Ville RtK (Sat) raw data"/>
      <sheetName val="R'Ville RtM (Wkdy) raw data"/>
      <sheetName val="R'Ville RtM (Sat) raw data"/>
      <sheetName val="R'Ville RtR raw data"/>
      <sheetName val="R'Ville Com1&amp;6 raw data"/>
      <sheetName val="R'Ville Com2 raw data"/>
      <sheetName val="R'Ville Com3 raw data"/>
      <sheetName val="R'Ville Com4 raw data"/>
      <sheetName val="R'Ville Com5 raw data"/>
      <sheetName val="Comm Rdrshp-Rte"/>
      <sheetName val="Aub PxMo"/>
      <sheetName val="Sum. Demand"/>
      <sheetName val="Mode Split"/>
      <sheetName val="Eld. Demand"/>
      <sheetName val="Emp. Demand"/>
      <sheetName val="Emp. Dem.no BG"/>
      <sheetName val="SumCostAll"/>
      <sheetName val="Dont Use 1"/>
      <sheetName val="Dont Use 2"/>
      <sheetName val="Dont Use 3"/>
      <sheetName val="CTSA Elasticity"/>
      <sheetName val="PCT Perf 02-03 thru 01-04"/>
      <sheetName val="PCT 02-03 Cost Model"/>
      <sheetName val="Aub 02-03 Cost Model"/>
      <sheetName val="Aub 02-03 Perf"/>
      <sheetName val="R'Ville 02-03 Cost Model"/>
      <sheetName val="R'Ville 02-03 Perf"/>
      <sheetName val="Linc Cost Model"/>
      <sheetName val="Linc Perf"/>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row r="1">
          <cell r="A1" t="str">
            <v>AREA_IN_SQ</v>
          </cell>
          <cell r="B1" t="str">
            <v>BLOCK_GROU</v>
          </cell>
        </row>
        <row r="2">
          <cell r="A2">
            <v>2.65</v>
          </cell>
          <cell r="B2" t="str">
            <v>060610201011</v>
          </cell>
        </row>
        <row r="3">
          <cell r="A3">
            <v>7.51</v>
          </cell>
          <cell r="B3" t="str">
            <v>060610201012</v>
          </cell>
        </row>
        <row r="4">
          <cell r="A4">
            <v>0.32</v>
          </cell>
          <cell r="B4" t="str">
            <v>060610201013</v>
          </cell>
        </row>
        <row r="5">
          <cell r="A5">
            <v>21.06</v>
          </cell>
          <cell r="B5" t="str">
            <v>060610201021</v>
          </cell>
        </row>
        <row r="6">
          <cell r="A6">
            <v>1.68</v>
          </cell>
          <cell r="B6" t="str">
            <v>060610201022</v>
          </cell>
        </row>
        <row r="7">
          <cell r="A7">
            <v>0.34</v>
          </cell>
          <cell r="B7" t="str">
            <v>060610201023</v>
          </cell>
        </row>
        <row r="8">
          <cell r="A8">
            <v>8.0299999999999994</v>
          </cell>
          <cell r="B8" t="str">
            <v>060610201031</v>
          </cell>
        </row>
        <row r="9">
          <cell r="A9">
            <v>0.74</v>
          </cell>
          <cell r="B9" t="str">
            <v>060610201032</v>
          </cell>
        </row>
        <row r="10">
          <cell r="A10">
            <v>0.3</v>
          </cell>
          <cell r="B10" t="str">
            <v>060610201033</v>
          </cell>
        </row>
        <row r="11">
          <cell r="A11">
            <v>7.31</v>
          </cell>
          <cell r="B11" t="str">
            <v>060610201041</v>
          </cell>
        </row>
        <row r="12">
          <cell r="A12">
            <v>0.38</v>
          </cell>
          <cell r="B12" t="str">
            <v>060610201042</v>
          </cell>
        </row>
        <row r="13">
          <cell r="A13">
            <v>0.44</v>
          </cell>
          <cell r="B13" t="str">
            <v>060610201043</v>
          </cell>
        </row>
        <row r="14">
          <cell r="A14">
            <v>0.16</v>
          </cell>
          <cell r="B14" t="str">
            <v>060610201044</v>
          </cell>
        </row>
        <row r="15">
          <cell r="A15">
            <v>0.44</v>
          </cell>
          <cell r="B15" t="str">
            <v>060610201045</v>
          </cell>
        </row>
        <row r="16">
          <cell r="A16">
            <v>2.74</v>
          </cell>
          <cell r="B16" t="str">
            <v>060610201051</v>
          </cell>
        </row>
        <row r="17">
          <cell r="A17">
            <v>6.93</v>
          </cell>
          <cell r="B17" t="str">
            <v>060610201052</v>
          </cell>
        </row>
        <row r="18">
          <cell r="A18">
            <v>0.24</v>
          </cell>
          <cell r="B18" t="str">
            <v>060610201053</v>
          </cell>
        </row>
        <row r="19">
          <cell r="A19">
            <v>0.78</v>
          </cell>
          <cell r="B19" t="str">
            <v>060610201054</v>
          </cell>
        </row>
        <row r="20">
          <cell r="A20">
            <v>1.79</v>
          </cell>
          <cell r="B20" t="str">
            <v>060610201061</v>
          </cell>
        </row>
        <row r="21">
          <cell r="A21">
            <v>0.56000000000000005</v>
          </cell>
          <cell r="B21" t="str">
            <v>060610201062</v>
          </cell>
        </row>
        <row r="22">
          <cell r="A22">
            <v>6.2</v>
          </cell>
          <cell r="B22" t="str">
            <v>060610201063</v>
          </cell>
        </row>
        <row r="23">
          <cell r="A23">
            <v>0.5</v>
          </cell>
          <cell r="B23" t="str">
            <v>060610201071</v>
          </cell>
        </row>
        <row r="24">
          <cell r="A24">
            <v>0.22</v>
          </cell>
          <cell r="B24" t="str">
            <v>060610201072</v>
          </cell>
        </row>
        <row r="25">
          <cell r="A25">
            <v>0.13</v>
          </cell>
          <cell r="B25" t="str">
            <v>060610201073</v>
          </cell>
        </row>
        <row r="26">
          <cell r="A26">
            <v>2.0499999999999998</v>
          </cell>
          <cell r="B26" t="str">
            <v>060610201074</v>
          </cell>
        </row>
        <row r="27">
          <cell r="A27">
            <v>38.49</v>
          </cell>
          <cell r="B27" t="str">
            <v>060610202001</v>
          </cell>
        </row>
        <row r="28">
          <cell r="A28">
            <v>5.1100000000000003</v>
          </cell>
          <cell r="B28" t="str">
            <v>060610202002</v>
          </cell>
        </row>
        <row r="29">
          <cell r="A29">
            <v>227.94</v>
          </cell>
          <cell r="B29" t="str">
            <v>060610202003</v>
          </cell>
        </row>
        <row r="30">
          <cell r="A30">
            <v>1.35</v>
          </cell>
          <cell r="B30" t="str">
            <v>060610202004</v>
          </cell>
        </row>
        <row r="31">
          <cell r="A31">
            <v>287.74</v>
          </cell>
          <cell r="B31" t="str">
            <v>060610202005</v>
          </cell>
        </row>
        <row r="32">
          <cell r="A32">
            <v>0.99</v>
          </cell>
          <cell r="B32" t="str">
            <v>060610203001</v>
          </cell>
        </row>
        <row r="33">
          <cell r="A33">
            <v>1.1399999999999999</v>
          </cell>
          <cell r="B33" t="str">
            <v>060610203002</v>
          </cell>
        </row>
        <row r="34">
          <cell r="A34">
            <v>3.07</v>
          </cell>
          <cell r="B34" t="str">
            <v>060610204001</v>
          </cell>
        </row>
        <row r="35">
          <cell r="A35">
            <v>0.83</v>
          </cell>
          <cell r="B35" t="str">
            <v>060610204002</v>
          </cell>
        </row>
        <row r="36">
          <cell r="A36">
            <v>0.17</v>
          </cell>
          <cell r="B36" t="str">
            <v>060610204003</v>
          </cell>
        </row>
        <row r="37">
          <cell r="A37">
            <v>4.8899999999999997</v>
          </cell>
          <cell r="B37" t="str">
            <v>060610205001</v>
          </cell>
        </row>
        <row r="38">
          <cell r="A38">
            <v>5.2</v>
          </cell>
          <cell r="B38" t="str">
            <v>060610205002</v>
          </cell>
        </row>
        <row r="39">
          <cell r="A39">
            <v>1</v>
          </cell>
          <cell r="B39" t="str">
            <v>060610205003</v>
          </cell>
        </row>
        <row r="40">
          <cell r="A40">
            <v>3.86</v>
          </cell>
          <cell r="B40" t="str">
            <v>060610205004</v>
          </cell>
        </row>
        <row r="41">
          <cell r="A41">
            <v>5.76</v>
          </cell>
          <cell r="B41" t="str">
            <v>060610205005</v>
          </cell>
        </row>
        <row r="42">
          <cell r="A42">
            <v>0.98</v>
          </cell>
          <cell r="B42" t="str">
            <v>060610206011</v>
          </cell>
        </row>
        <row r="43">
          <cell r="A43">
            <v>8.24</v>
          </cell>
          <cell r="B43" t="str">
            <v>060610206012</v>
          </cell>
        </row>
        <row r="44">
          <cell r="A44">
            <v>0.47</v>
          </cell>
          <cell r="B44" t="str">
            <v>060610206013</v>
          </cell>
        </row>
        <row r="45">
          <cell r="A45">
            <v>4.4800000000000004</v>
          </cell>
          <cell r="B45" t="str">
            <v>060610206021</v>
          </cell>
        </row>
        <row r="46">
          <cell r="A46">
            <v>2.0499999999999998</v>
          </cell>
          <cell r="B46" t="str">
            <v>060610206022</v>
          </cell>
        </row>
        <row r="47">
          <cell r="A47">
            <v>1.72</v>
          </cell>
          <cell r="B47" t="str">
            <v>060610206023</v>
          </cell>
        </row>
        <row r="48">
          <cell r="A48">
            <v>5.84</v>
          </cell>
          <cell r="B48" t="str">
            <v>060610206024</v>
          </cell>
        </row>
        <row r="49">
          <cell r="A49">
            <v>4.63</v>
          </cell>
          <cell r="B49" t="str">
            <v>060610206025</v>
          </cell>
        </row>
        <row r="50">
          <cell r="A50">
            <v>1.26</v>
          </cell>
          <cell r="B50" t="str">
            <v>060610206041</v>
          </cell>
        </row>
        <row r="51">
          <cell r="A51">
            <v>1.1299999999999999</v>
          </cell>
          <cell r="B51" t="str">
            <v>060610206042</v>
          </cell>
        </row>
        <row r="52">
          <cell r="A52">
            <v>1.26</v>
          </cell>
          <cell r="B52" t="str">
            <v>060610206043</v>
          </cell>
        </row>
        <row r="53">
          <cell r="A53">
            <v>0.82</v>
          </cell>
          <cell r="B53" t="str">
            <v>060610206044</v>
          </cell>
        </row>
        <row r="54">
          <cell r="A54">
            <v>2.2999999999999998</v>
          </cell>
          <cell r="B54" t="str">
            <v>060610206051</v>
          </cell>
        </row>
        <row r="55">
          <cell r="A55">
            <v>1.68</v>
          </cell>
          <cell r="B55" t="str">
            <v>060610206052</v>
          </cell>
        </row>
        <row r="56">
          <cell r="A56">
            <v>1.57</v>
          </cell>
          <cell r="B56" t="str">
            <v>060610206061</v>
          </cell>
        </row>
        <row r="57">
          <cell r="A57">
            <v>0.33</v>
          </cell>
          <cell r="B57" t="str">
            <v>060610207021</v>
          </cell>
        </row>
        <row r="58">
          <cell r="A58">
            <v>0.27</v>
          </cell>
          <cell r="B58" t="str">
            <v>060610207022</v>
          </cell>
        </row>
        <row r="59">
          <cell r="A59">
            <v>0.65</v>
          </cell>
          <cell r="B59" t="str">
            <v>060610207023</v>
          </cell>
        </row>
        <row r="60">
          <cell r="A60">
            <v>0.55000000000000004</v>
          </cell>
          <cell r="B60" t="str">
            <v>060610207031</v>
          </cell>
        </row>
        <row r="61">
          <cell r="A61">
            <v>0.55000000000000004</v>
          </cell>
          <cell r="B61" t="str">
            <v>060610207032</v>
          </cell>
        </row>
        <row r="62">
          <cell r="A62">
            <v>0.38</v>
          </cell>
          <cell r="B62" t="str">
            <v>060610207033</v>
          </cell>
        </row>
        <row r="63">
          <cell r="A63">
            <v>3.69</v>
          </cell>
          <cell r="B63" t="str">
            <v>060610207041</v>
          </cell>
        </row>
        <row r="64">
          <cell r="A64">
            <v>1.21</v>
          </cell>
          <cell r="B64" t="str">
            <v>060610207051</v>
          </cell>
        </row>
        <row r="65">
          <cell r="A65">
            <v>0.45</v>
          </cell>
          <cell r="B65" t="str">
            <v>060610207052</v>
          </cell>
        </row>
        <row r="66">
          <cell r="A66">
            <v>0.83</v>
          </cell>
          <cell r="B66" t="str">
            <v>060610207053</v>
          </cell>
        </row>
        <row r="67">
          <cell r="A67">
            <v>0.49</v>
          </cell>
          <cell r="B67" t="str">
            <v>060610208001</v>
          </cell>
        </row>
        <row r="68">
          <cell r="A68">
            <v>0.45</v>
          </cell>
          <cell r="B68" t="str">
            <v>060610208002</v>
          </cell>
        </row>
        <row r="69">
          <cell r="A69">
            <v>0.76</v>
          </cell>
          <cell r="B69" t="str">
            <v>060610208003</v>
          </cell>
        </row>
        <row r="70">
          <cell r="A70">
            <v>0.13</v>
          </cell>
          <cell r="B70" t="str">
            <v>060610209011</v>
          </cell>
        </row>
        <row r="71">
          <cell r="A71">
            <v>0.54</v>
          </cell>
          <cell r="B71" t="str">
            <v>060610209012</v>
          </cell>
        </row>
        <row r="72">
          <cell r="A72">
            <v>5.19</v>
          </cell>
          <cell r="B72" t="str">
            <v>060610209021</v>
          </cell>
        </row>
        <row r="73">
          <cell r="A73">
            <v>3.07</v>
          </cell>
          <cell r="B73" t="str">
            <v>060610209022</v>
          </cell>
        </row>
        <row r="74">
          <cell r="A74">
            <v>0.41</v>
          </cell>
          <cell r="B74" t="str">
            <v>060610209023</v>
          </cell>
        </row>
        <row r="75">
          <cell r="A75">
            <v>0.54</v>
          </cell>
          <cell r="B75" t="str">
            <v>060610209024</v>
          </cell>
        </row>
        <row r="76">
          <cell r="A76">
            <v>0.27</v>
          </cell>
          <cell r="B76" t="str">
            <v>060610210031</v>
          </cell>
        </row>
        <row r="77">
          <cell r="A77">
            <v>0.21</v>
          </cell>
          <cell r="B77" t="str">
            <v>060610210032</v>
          </cell>
        </row>
        <row r="78">
          <cell r="A78">
            <v>0.54</v>
          </cell>
          <cell r="B78" t="str">
            <v>060610210033</v>
          </cell>
        </row>
        <row r="79">
          <cell r="A79">
            <v>1.82</v>
          </cell>
          <cell r="B79" t="str">
            <v>060610210034</v>
          </cell>
        </row>
        <row r="80">
          <cell r="A80">
            <v>3.53</v>
          </cell>
          <cell r="B80" t="str">
            <v>060610210041</v>
          </cell>
        </row>
        <row r="81">
          <cell r="A81">
            <v>4.88</v>
          </cell>
          <cell r="B81" t="str">
            <v>060610210051</v>
          </cell>
        </row>
        <row r="82">
          <cell r="A82">
            <v>0.75</v>
          </cell>
          <cell r="B82" t="str">
            <v>060610210061</v>
          </cell>
        </row>
        <row r="83">
          <cell r="A83">
            <v>1.1200000000000001</v>
          </cell>
          <cell r="B83" t="str">
            <v>060610210062</v>
          </cell>
        </row>
        <row r="84">
          <cell r="A84">
            <v>0.43</v>
          </cell>
          <cell r="B84" t="str">
            <v>060610210071</v>
          </cell>
        </row>
        <row r="85">
          <cell r="A85">
            <v>2.35</v>
          </cell>
          <cell r="B85" t="str">
            <v>060610210072</v>
          </cell>
        </row>
        <row r="86">
          <cell r="A86">
            <v>0.42</v>
          </cell>
          <cell r="B86" t="str">
            <v>060610210081</v>
          </cell>
        </row>
        <row r="87">
          <cell r="A87">
            <v>0.81</v>
          </cell>
          <cell r="B87" t="str">
            <v>060610210082</v>
          </cell>
        </row>
        <row r="88">
          <cell r="A88">
            <v>1.0900000000000001</v>
          </cell>
          <cell r="B88" t="str">
            <v>060610211031</v>
          </cell>
        </row>
        <row r="89">
          <cell r="A89">
            <v>0.11</v>
          </cell>
          <cell r="B89" t="str">
            <v>060610211032</v>
          </cell>
        </row>
        <row r="90">
          <cell r="A90">
            <v>0.56000000000000005</v>
          </cell>
          <cell r="B90" t="str">
            <v>060610211033</v>
          </cell>
        </row>
        <row r="91">
          <cell r="A91">
            <v>0.18</v>
          </cell>
          <cell r="B91" t="str">
            <v>060610211034</v>
          </cell>
        </row>
        <row r="92">
          <cell r="A92">
            <v>5.78</v>
          </cell>
          <cell r="B92" t="str">
            <v>060610211041</v>
          </cell>
        </row>
        <row r="93">
          <cell r="A93">
            <v>1.06</v>
          </cell>
          <cell r="B93" t="str">
            <v>060610211051</v>
          </cell>
        </row>
        <row r="94">
          <cell r="A94">
            <v>0.74</v>
          </cell>
          <cell r="B94" t="str">
            <v>060610211061</v>
          </cell>
        </row>
        <row r="95">
          <cell r="A95">
            <v>0.74</v>
          </cell>
          <cell r="B95" t="str">
            <v>060610211071</v>
          </cell>
        </row>
        <row r="96">
          <cell r="A96">
            <v>3</v>
          </cell>
          <cell r="B96" t="str">
            <v>060610211072</v>
          </cell>
        </row>
        <row r="97">
          <cell r="A97">
            <v>0.27</v>
          </cell>
          <cell r="B97" t="str">
            <v>060610211081</v>
          </cell>
        </row>
        <row r="98">
          <cell r="A98">
            <v>0.41</v>
          </cell>
          <cell r="B98" t="str">
            <v>060610211082</v>
          </cell>
        </row>
        <row r="99">
          <cell r="A99">
            <v>2.12</v>
          </cell>
          <cell r="B99" t="str">
            <v>060610211091</v>
          </cell>
        </row>
        <row r="100">
          <cell r="A100">
            <v>9.51</v>
          </cell>
          <cell r="B100" t="str">
            <v>060610212001</v>
          </cell>
        </row>
        <row r="101">
          <cell r="A101">
            <v>3.86</v>
          </cell>
          <cell r="B101" t="str">
            <v>060610212002</v>
          </cell>
        </row>
        <row r="102">
          <cell r="A102">
            <v>1.39</v>
          </cell>
          <cell r="B102" t="str">
            <v>060610212003</v>
          </cell>
        </row>
        <row r="103">
          <cell r="A103">
            <v>2.61</v>
          </cell>
          <cell r="B103" t="str">
            <v>060610212004</v>
          </cell>
        </row>
        <row r="104">
          <cell r="A104">
            <v>0.89</v>
          </cell>
          <cell r="B104" t="str">
            <v>060610212005</v>
          </cell>
        </row>
        <row r="105">
          <cell r="A105">
            <v>45.98</v>
          </cell>
          <cell r="B105" t="str">
            <v>060610213011</v>
          </cell>
        </row>
        <row r="106">
          <cell r="A106">
            <v>67.400000000000006</v>
          </cell>
          <cell r="B106" t="str">
            <v>060610213012</v>
          </cell>
        </row>
        <row r="107">
          <cell r="A107">
            <v>16.79</v>
          </cell>
          <cell r="B107" t="str">
            <v>060610213031</v>
          </cell>
        </row>
        <row r="108">
          <cell r="A108">
            <v>38.5</v>
          </cell>
          <cell r="B108" t="str">
            <v>060610213041</v>
          </cell>
        </row>
        <row r="109">
          <cell r="A109">
            <v>19.36</v>
          </cell>
          <cell r="B109" t="str">
            <v>060610213042</v>
          </cell>
        </row>
        <row r="110">
          <cell r="A110">
            <v>8.77</v>
          </cell>
          <cell r="B110" t="str">
            <v>060610213043</v>
          </cell>
        </row>
        <row r="111">
          <cell r="A111">
            <v>10.87</v>
          </cell>
          <cell r="B111" t="str">
            <v>060610213044</v>
          </cell>
        </row>
        <row r="112">
          <cell r="A112">
            <v>0.62</v>
          </cell>
          <cell r="B112" t="str">
            <v>060610214011</v>
          </cell>
        </row>
        <row r="113">
          <cell r="A113">
            <v>0.27</v>
          </cell>
          <cell r="B113" t="str">
            <v>060610214012</v>
          </cell>
        </row>
        <row r="114">
          <cell r="A114">
            <v>0.19</v>
          </cell>
          <cell r="B114" t="str">
            <v>060610214013</v>
          </cell>
        </row>
        <row r="115">
          <cell r="A115">
            <v>0.26</v>
          </cell>
          <cell r="B115" t="str">
            <v>060610214021</v>
          </cell>
        </row>
        <row r="116">
          <cell r="A116">
            <v>0.24</v>
          </cell>
          <cell r="B116" t="str">
            <v>060610214022</v>
          </cell>
        </row>
        <row r="117">
          <cell r="A117">
            <v>0.42</v>
          </cell>
          <cell r="B117" t="str">
            <v>060610214023</v>
          </cell>
        </row>
        <row r="118">
          <cell r="A118">
            <v>1.68</v>
          </cell>
          <cell r="B118" t="str">
            <v>060610214024</v>
          </cell>
        </row>
        <row r="119">
          <cell r="A119">
            <v>4.33</v>
          </cell>
          <cell r="B119" t="str">
            <v>060610215011</v>
          </cell>
        </row>
        <row r="120">
          <cell r="A120">
            <v>2.56</v>
          </cell>
          <cell r="B120" t="str">
            <v>060610215012</v>
          </cell>
        </row>
        <row r="121">
          <cell r="A121">
            <v>3.84</v>
          </cell>
          <cell r="B121" t="str">
            <v>060610215013</v>
          </cell>
        </row>
        <row r="122">
          <cell r="A122">
            <v>0.99</v>
          </cell>
          <cell r="B122" t="str">
            <v>060610215021</v>
          </cell>
        </row>
        <row r="123">
          <cell r="A123">
            <v>1.83</v>
          </cell>
          <cell r="B123" t="str">
            <v>060610215022</v>
          </cell>
        </row>
        <row r="124">
          <cell r="A124">
            <v>25.41</v>
          </cell>
          <cell r="B124" t="str">
            <v>060610216001</v>
          </cell>
        </row>
        <row r="125">
          <cell r="A125">
            <v>11.68</v>
          </cell>
          <cell r="B125" t="str">
            <v>060610216002</v>
          </cell>
        </row>
        <row r="126">
          <cell r="A126">
            <v>1.1299999999999999</v>
          </cell>
          <cell r="B126" t="str">
            <v>060610216003</v>
          </cell>
        </row>
        <row r="127">
          <cell r="A127">
            <v>0.05</v>
          </cell>
          <cell r="B127" t="str">
            <v>060610216004</v>
          </cell>
        </row>
        <row r="128">
          <cell r="A128">
            <v>4.75</v>
          </cell>
          <cell r="B128" t="str">
            <v>060610218011</v>
          </cell>
        </row>
        <row r="129">
          <cell r="A129">
            <v>3.85</v>
          </cell>
          <cell r="B129" t="str">
            <v>060610218012</v>
          </cell>
        </row>
        <row r="130">
          <cell r="A130">
            <v>1.53</v>
          </cell>
          <cell r="B130" t="str">
            <v>060610218013</v>
          </cell>
        </row>
        <row r="131">
          <cell r="A131">
            <v>2.82</v>
          </cell>
          <cell r="B131" t="str">
            <v>060610218014</v>
          </cell>
        </row>
        <row r="132">
          <cell r="A132">
            <v>2.92</v>
          </cell>
          <cell r="B132" t="str">
            <v>060610218021</v>
          </cell>
        </row>
        <row r="133">
          <cell r="A133">
            <v>0.84</v>
          </cell>
          <cell r="B133" t="str">
            <v>060610218022</v>
          </cell>
        </row>
        <row r="134">
          <cell r="A134">
            <v>0.8</v>
          </cell>
          <cell r="B134" t="str">
            <v>060610218023</v>
          </cell>
        </row>
        <row r="135">
          <cell r="A135">
            <v>3.57</v>
          </cell>
          <cell r="B135" t="str">
            <v>060610218024</v>
          </cell>
        </row>
        <row r="136">
          <cell r="A136">
            <v>3.69</v>
          </cell>
          <cell r="B136" t="str">
            <v>060610219011</v>
          </cell>
        </row>
        <row r="137">
          <cell r="A137">
            <v>12.54</v>
          </cell>
          <cell r="B137" t="str">
            <v>060610219012</v>
          </cell>
        </row>
        <row r="138">
          <cell r="A138">
            <v>2.96</v>
          </cell>
          <cell r="B138" t="str">
            <v>060610219021</v>
          </cell>
        </row>
        <row r="139">
          <cell r="A139">
            <v>6.19</v>
          </cell>
          <cell r="B139" t="str">
            <v>060610219022</v>
          </cell>
        </row>
        <row r="140">
          <cell r="A140">
            <v>0.37</v>
          </cell>
          <cell r="B140" t="str">
            <v>060610219023</v>
          </cell>
        </row>
        <row r="141">
          <cell r="A141">
            <v>12.67</v>
          </cell>
          <cell r="B141" t="str">
            <v>060610220011</v>
          </cell>
        </row>
        <row r="142">
          <cell r="A142">
            <v>23.37</v>
          </cell>
          <cell r="B142" t="str">
            <v>060610220012</v>
          </cell>
        </row>
        <row r="143">
          <cell r="A143">
            <v>144.49</v>
          </cell>
          <cell r="B143" t="str">
            <v>060610220013</v>
          </cell>
        </row>
        <row r="144">
          <cell r="A144">
            <v>19.05</v>
          </cell>
          <cell r="B144" t="str">
            <v>060610220014</v>
          </cell>
        </row>
        <row r="145">
          <cell r="A145">
            <v>73.180000000000007</v>
          </cell>
          <cell r="B145" t="str">
            <v>060610220015</v>
          </cell>
        </row>
        <row r="146">
          <cell r="A146">
            <v>24.58</v>
          </cell>
          <cell r="B146" t="str">
            <v>060610220016</v>
          </cell>
        </row>
        <row r="147">
          <cell r="A147">
            <v>2.09</v>
          </cell>
          <cell r="B147" t="str">
            <v>060610220021</v>
          </cell>
        </row>
        <row r="148">
          <cell r="A148">
            <v>7.86</v>
          </cell>
          <cell r="B148" t="str">
            <v>060610220022</v>
          </cell>
        </row>
        <row r="149">
          <cell r="A149">
            <v>15.26</v>
          </cell>
          <cell r="B149" t="str">
            <v>060610220023</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 Me"/>
      <sheetName val="Data Dictionary"/>
      <sheetName val="Operating Expenses by Function"/>
      <sheetName val="PeerVehOpCost"/>
      <sheetName val="Agency Total by Function"/>
      <sheetName val="Operating Expenses by Type"/>
      <sheetName val="Agency Total by Type"/>
      <sheetName val="Summary Tables by Function"/>
      <sheetName val="Summary Tables by Type"/>
      <sheetName val="NTD Vehicle expenses 2019"/>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Fixed Route System Summary"/>
      <sheetName val="ParaTransit System Summary"/>
      <sheetName val="Camp Richardson Summary"/>
      <sheetName val="Route20X"/>
      <sheetName val="Route 22"/>
      <sheetName val="Route 23"/>
      <sheetName val="Route 24"/>
      <sheetName val="Route 30"/>
      <sheetName val="Route 40"/>
      <sheetName val="Route 50"/>
      <sheetName val="Route 52"/>
      <sheetName val="Route 53"/>
      <sheetName val="Route54"/>
      <sheetName val="Route 55"/>
      <sheetName val="Route-Specials "/>
      <sheetName val="10-Red"/>
      <sheetName val="11-Orange"/>
      <sheetName val="12-Green"/>
      <sheetName val="13-Gold"/>
      <sheetName val="14-Purple"/>
      <sheetName val="15-Blue"/>
      <sheetName val="16-Violet"/>
      <sheetName val="17-Black"/>
      <sheetName val="Route #1"/>
      <sheetName val="Route #2"/>
      <sheetName val="Route #3"/>
      <sheetName val="Para 1A"/>
      <sheetName val="Para 1B"/>
      <sheetName val="Para 1C"/>
      <sheetName val="Para 2A"/>
      <sheetName val="Para 2B"/>
      <sheetName val="Para 2C"/>
      <sheetName val="Para 3A"/>
      <sheetName val="Para 3B"/>
      <sheetName val="Sheet3"/>
      <sheetName val="60-1"/>
      <sheetName val="60-2"/>
      <sheetName val="Special Trip"/>
      <sheetName val="Pax Definitions"/>
      <sheetName val="Time Conversion"/>
      <sheetName val="Days Schedul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ow r="1">
          <cell r="A1">
            <v>1</v>
          </cell>
          <cell r="B1">
            <v>2</v>
          </cell>
          <cell r="C1">
            <v>3</v>
          </cell>
          <cell r="D1">
            <v>4</v>
          </cell>
          <cell r="E1">
            <v>5</v>
          </cell>
          <cell r="F1">
            <v>6</v>
          </cell>
          <cell r="G1">
            <v>7</v>
          </cell>
        </row>
        <row r="2">
          <cell r="A2" t="str">
            <v>Sunday</v>
          </cell>
          <cell r="B2" t="str">
            <v>Monday</v>
          </cell>
          <cell r="C2" t="str">
            <v>Tuesday</v>
          </cell>
          <cell r="D2" t="str">
            <v>Wednesday</v>
          </cell>
          <cell r="E2" t="str">
            <v>Thursday</v>
          </cell>
          <cell r="F2" t="str">
            <v>Friday</v>
          </cell>
          <cell r="G2" t="str">
            <v>Saturday</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nTheMap_Report"/>
      <sheetName val="Cost Assumptions"/>
      <sheetName val="Cost Projections"/>
      <sheetName val="schedules"/>
      <sheetName val="EBS Ridership Calcs"/>
      <sheetName val="Ride Calcs"/>
      <sheetName val=" T25 Service Alts"/>
      <sheetName val="T26 FX-X service alts perf "/>
      <sheetName val="DeprecateTTD Operating Expenses"/>
      <sheetName val="DEPRECATEDCost per revenue hour"/>
      <sheetName val=" T24 Service Alts"/>
      <sheetName val="T25 FX-X service alts perf "/>
    </sheetNames>
    <sheetDataSet>
      <sheetData sheetId="0" refreshError="1"/>
      <sheetData sheetId="1" refreshError="1"/>
      <sheetData sheetId="2">
        <row r="49">
          <cell r="C49">
            <v>2329.25</v>
          </cell>
        </row>
      </sheetData>
      <sheetData sheetId="3" refreshError="1"/>
      <sheetData sheetId="4" refreshError="1"/>
      <sheetData sheetId="5" refreshError="1"/>
      <sheetData sheetId="6">
        <row r="26">
          <cell r="M26">
            <v>476500</v>
          </cell>
        </row>
        <row r="30">
          <cell r="M30">
            <v>131880</v>
          </cell>
        </row>
        <row r="32">
          <cell r="M32">
            <v>456200</v>
          </cell>
        </row>
        <row r="35">
          <cell r="M35">
            <v>517288</v>
          </cell>
        </row>
        <row r="37">
          <cell r="M37">
            <v>-10565.068800000001</v>
          </cell>
        </row>
        <row r="41">
          <cell r="M41">
            <v>343529.6492470926</v>
          </cell>
        </row>
        <row r="43">
          <cell r="M43">
            <v>343529.6492470926</v>
          </cell>
        </row>
      </sheetData>
      <sheetData sheetId="7" refreshError="1"/>
      <sheetData sheetId="8" refreshError="1"/>
      <sheetData sheetId="9" refreshError="1"/>
      <sheetData sheetId="10" refreshError="1"/>
      <sheetData sheetId="1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1 Demographics"/>
      <sheetName val="Table 2 Visitor Data"/>
      <sheetName val="T3 Operator Summary table"/>
      <sheetName val="North Shore Tables&amp;figs&gt;&gt;&gt;"/>
      <sheetName val="T4 TART Fleet"/>
      <sheetName val="F4&amp;5 FR Hist Ridership by Route"/>
      <sheetName val="F6 FR Ridership by Rte by Mth"/>
      <sheetName val="F7 ADA Hist Ridership by Rou"/>
      <sheetName val="F8 HistRidership TART Connect"/>
      <sheetName val="f9&amp;10 VSH &amp; VSM TART FR"/>
      <sheetName val="f11&amp;12 VSH &amp; VSM TART DAR"/>
      <sheetName val="f13&amp;14 VSH &amp; VSM TART Connect"/>
      <sheetName val="T5-F15-18 TART 24-25 Perf"/>
      <sheetName val="TNT TMA BODSTAFF "/>
      <sheetName val="f19 TNT NLTE"/>
      <sheetName val="T6 TNTTMA Vanpool"/>
      <sheetName val="Table 7 TNTTMA SKI SHUTTLE"/>
      <sheetName val="Table 8 TNTTMA SumShuttle"/>
      <sheetName val="South Shore Tables&amp;Figs&gt;&gt;&gt;&gt;"/>
      <sheetName val="TTD BODSTAFF"/>
      <sheetName val="T9 TTD Fleet"/>
      <sheetName val="F21&amp;22 TTDFR Hist Ride"/>
      <sheetName val="F23 TTDFR # by Rte by mon"/>
      <sheetName val="F24 TTD ADA Hist Ridership"/>
      <sheetName val="f25&amp;26 VSH &amp; VSM TTD FR"/>
      <sheetName val="f27&amp;28 VSH &amp; VSM TTD DAR"/>
      <sheetName val="F29 LakeLinkHist Ridership"/>
      <sheetName val="f30&amp;31 VSH &amp; VSM LakeLink"/>
      <sheetName val="sstma vanpool"/>
      <sheetName val="T10 F32-35 TTD 24-25 Perf"/>
      <sheetName val="f36 ST Airporter"/>
      <sheetName val="Other&gt;&gt;&gt;&gt;"/>
      <sheetName val="T11-14 Funding Overview"/>
      <sheetName val="T15 Performance Summary"/>
      <sheetName val="T16 Peer Comparison Service"/>
      <sheetName val="RAW DATA&gt;&gt;&gt;&gt;&gt;&gt;&gt;&gt;&gt;"/>
      <sheetName val="demo research"/>
      <sheetName val="ltva NTCA Market Research data"/>
      <sheetName val="AADT CalNV"/>
      <sheetName val="TTD cost model 24-25"/>
      <sheetName val="TTD FY 24_25 Cost Model Actuals"/>
      <sheetName val="Sheet4"/>
      <sheetName val="TTD FY 25 Budget"/>
      <sheetName val="EDTAMtrak ridership"/>
      <sheetName val="TART cost model 24-25"/>
      <sheetName val="TART Survey Tables "/>
      <sheetName val="TTD Survey Tables"/>
      <sheetName val="TTD Data"/>
      <sheetName val="Rough Unmet Transit Needs"/>
      <sheetName val="Sheet3"/>
      <sheetName val="TART FR ridership Systems Plan"/>
      <sheetName val="TART Connectridership Systems P"/>
      <sheetName val="tart budget notes"/>
      <sheetName val="Admin_Ops Budget Breakdwn TT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4">
          <cell r="L24">
            <v>928480.84256594756</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14">
          <cell r="F14">
            <v>10747</v>
          </cell>
        </row>
      </sheetData>
      <sheetData sheetId="30"/>
      <sheetData sheetId="31"/>
      <sheetData sheetId="32">
        <row r="22">
          <cell r="D22">
            <v>2400000</v>
          </cell>
        </row>
      </sheetData>
      <sheetData sheetId="33"/>
      <sheetData sheetId="34"/>
      <sheetData sheetId="35"/>
      <sheetData sheetId="36"/>
      <sheetData sheetId="37"/>
      <sheetData sheetId="38"/>
      <sheetData sheetId="39"/>
      <sheetData sheetId="40"/>
      <sheetData sheetId="41"/>
      <sheetData sheetId="42"/>
      <sheetData sheetId="43"/>
      <sheetData sheetId="44">
        <row r="44">
          <cell r="B44">
            <v>4003350</v>
          </cell>
        </row>
      </sheetData>
      <sheetData sheetId="45"/>
      <sheetData sheetId="46"/>
      <sheetData sheetId="47"/>
      <sheetData sheetId="48"/>
      <sheetData sheetId="49"/>
      <sheetData sheetId="50"/>
      <sheetData sheetId="51"/>
      <sheetData sheetId="52"/>
      <sheetData sheetId="53"/>
    </sheetDataSet>
  </externalBook>
</externalLink>
</file>

<file path=xl/persons/person.xml><?xml version="1.0" encoding="utf-8"?>
<personList xmlns="http://schemas.microsoft.com/office/spreadsheetml/2018/threadedcomments" xmlns:x="http://schemas.openxmlformats.org/spreadsheetml/2006/main">
  <person displayName="Acadia Davis" id="{5F239259-3328-4D41-8A7C-2738AB474F9F}" userId="d24c214f47307655"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 dT="2026-07-07T20:53:25.27" personId="{5F239259-3328-4D41-8A7C-2738AB474F9F}" id="{34E5908B-7819-4ACE-8AAA-781782EFC3E1}">
    <text>Contract amt est.</text>
  </threadedComment>
</ThreadedComments>
</file>

<file path=xl/threadedComments/threadedComment2.xml><?xml version="1.0" encoding="utf-8"?>
<ThreadedComments xmlns="http://schemas.microsoft.com/office/spreadsheetml/2018/threadedcomments" xmlns:x="http://schemas.openxmlformats.org/spreadsheetml/2006/main">
  <threadedComment ref="F9" dT="2026-07-07T17:33:52.71" personId="{5F239259-3328-4D41-8A7C-2738AB474F9F}" id="{DA85D04B-A679-4796-A305-F9B9D880F5D2}">
    <text>Vehicle turnover fixed - do not escalate</text>
  </threadedComment>
  <threadedComment ref="G9" dT="2026-07-07T17:34:54.27" personId="{5F239259-3328-4D41-8A7C-2738AB474F9F}" id="{6D2AFAFE-5FCB-41D4-99B0-BAAB4609FDB0}">
    <text>Vehicle parking. Escalate by 3% / year</text>
  </threadedComment>
  <threadedComment ref="I9" dT="2026-07-07T17:51:54.08" personId="{5F239259-3328-4D41-8A7C-2738AB474F9F}" id="{D9E2F042-652C-40E6-AFB3-406E107D3864}">
    <text>Variable plus fixed/vsh</text>
  </threadedComment>
  <threadedComment ref="I14" dT="2026-07-07T18:07:40.25" personId="{5F239259-3328-4D41-8A7C-2738AB474F9F}" id="{FC8CFC54-4B19-4F06-856E-405C12436F47}">
    <text>Total op cost/VSH calculated in EC memo plus inflation</text>
  </threadedComment>
  <threadedComment ref="D15" dT="2026-07-07T18:03:02.47" personId="{5F239259-3328-4D41-8A7C-2738AB474F9F}" id="{7C61E464-2057-435A-8BD7-FEA212CCF29C}">
    <text>Contract max for variable costs for YR3 divided by 24-25 VSH</text>
  </threadedComment>
  <threadedComment ref="D15" dT="2026-07-07T18:05:58.56" personId="{5F239259-3328-4D41-8A7C-2738AB474F9F}" id="{C933915F-B2AD-4B77-AA68-DF0F3B60A800}" parentId="{7C61E464-2057-435A-8BD7-FEA212CCF29C}">
    <text>Contract max: $1,480,267. Doesn’t add up to actuals of $4 million +….</text>
  </threadedComment>
  <threadedComment ref="F15" dT="2026-07-07T18:01:17.69" personId="{5F239259-3328-4D41-8A7C-2738AB474F9F}" id="{9A05DD94-33F1-41B7-8802-1D4831F3CF1A}">
    <text>Contract max specified in contract</text>
  </threadedComment>
  <threadedComment ref="I15" dT="2026-07-07T17:52:17.06" personId="{5F239259-3328-4D41-8A7C-2738AB474F9F}" id="{9E70FF00-4D48-4708-ABD7-0576885262CF}">
    <text>Actuals for 24/25 plus inflation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E20" dT="2026-08-24T15:37:42.09" personId="{5F239259-3328-4D41-8A7C-2738AB474F9F}" id="{3D3F91E4-6DC0-4AEA-BEF9-BB683F38E67C}">
    <text>Hwy 89/267</text>
  </threadedComment>
  <threadedComment ref="E38" dT="2026-08-24T16:00:39.11" personId="{5F239259-3328-4D41-8A7C-2738AB474F9F}" id="{13AA23C7-EA70-4332-AF32-47B005AC0F90}">
    <text>Hwy 89/267 only</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FF30B-910B-4704-BEC5-EB0768964F5C}">
  <sheetPr>
    <pageSetUpPr fitToPage="1"/>
  </sheetPr>
  <dimension ref="A1:Z172"/>
  <sheetViews>
    <sheetView workbookViewId="0"/>
  </sheetViews>
  <sheetFormatPr defaultRowHeight="14.4" x14ac:dyDescent="0.3"/>
  <cols>
    <col min="1" max="1" width="1.44140625" customWidth="1"/>
    <col min="2" max="2" width="39.44140625" customWidth="1"/>
    <col min="3" max="3" width="12.44140625" customWidth="1"/>
    <col min="4" max="4" width="13.5546875" style="2" customWidth="1"/>
    <col min="5" max="5" width="4.5546875" style="1" customWidth="1"/>
    <col min="6" max="6" width="10" customWidth="1"/>
    <col min="7" max="8" width="11.44140625" customWidth="1"/>
    <col min="9" max="11" width="9.44140625" customWidth="1"/>
    <col min="12" max="12" width="13.5546875" style="1" customWidth="1"/>
    <col min="13" max="14" width="13.5546875" style="1" hidden="1" customWidth="1"/>
    <col min="15" max="15" width="13.5546875" hidden="1" customWidth="1"/>
    <col min="16" max="16" width="13.44140625" hidden="1" customWidth="1"/>
    <col min="17" max="17" width="1.44140625" customWidth="1"/>
    <col min="18" max="18" width="14.5546875" bestFit="1" customWidth="1"/>
    <col min="19" max="19" width="23.109375" customWidth="1"/>
    <col min="20" max="20" width="16.5546875" customWidth="1"/>
    <col min="21" max="21" width="6.44140625" customWidth="1"/>
    <col min="22" max="22" width="15" customWidth="1"/>
    <col min="23" max="23" width="14.5546875" customWidth="1"/>
    <col min="24" max="24" width="14" customWidth="1"/>
    <col min="25" max="25" width="9.109375" customWidth="1"/>
    <col min="26" max="26" width="11.44140625" customWidth="1"/>
    <col min="27" max="27" width="15.44140625" customWidth="1"/>
  </cols>
  <sheetData>
    <row r="1" spans="1:26" x14ac:dyDescent="0.3">
      <c r="A1" t="s">
        <v>0</v>
      </c>
    </row>
    <row r="2" spans="1:26" x14ac:dyDescent="0.3">
      <c r="A2" t="s">
        <v>1</v>
      </c>
    </row>
    <row r="3" spans="1:26" x14ac:dyDescent="0.3">
      <c r="A3" t="s">
        <v>2</v>
      </c>
    </row>
    <row r="5" spans="1:26" ht="15.6" x14ac:dyDescent="0.3">
      <c r="B5" s="81"/>
    </row>
    <row r="6" spans="1:26" ht="18" x14ac:dyDescent="0.35">
      <c r="A6" s="107"/>
      <c r="B6" s="239"/>
      <c r="C6" s="108" t="s">
        <v>3</v>
      </c>
      <c r="D6" s="109" t="s">
        <v>3</v>
      </c>
      <c r="E6" s="110"/>
      <c r="F6" s="111"/>
      <c r="G6" s="111"/>
      <c r="H6" s="111"/>
      <c r="I6" s="111"/>
      <c r="J6" s="111"/>
      <c r="K6" s="111"/>
      <c r="L6" s="110"/>
      <c r="M6" s="112"/>
      <c r="N6" s="112"/>
      <c r="O6" s="111"/>
      <c r="P6" s="111"/>
      <c r="Q6" s="113"/>
    </row>
    <row r="7" spans="1:26" x14ac:dyDescent="0.3">
      <c r="A7" s="114"/>
      <c r="B7" s="1354" t="s">
        <v>4</v>
      </c>
      <c r="C7" s="1354"/>
      <c r="D7" s="1354"/>
      <c r="E7" s="1354"/>
      <c r="F7" s="1354"/>
      <c r="G7" s="1354"/>
      <c r="H7" s="1354"/>
      <c r="I7" s="1354"/>
      <c r="L7" s="85"/>
      <c r="M7" s="85"/>
      <c r="N7" s="85"/>
      <c r="Q7" s="117"/>
      <c r="S7" s="1354" t="s">
        <v>4</v>
      </c>
      <c r="T7" s="1354"/>
      <c r="U7" s="1354"/>
      <c r="V7" s="1354"/>
      <c r="W7" s="1354"/>
      <c r="X7" s="1354"/>
      <c r="Y7" s="116"/>
      <c r="Z7" s="116"/>
    </row>
    <row r="8" spans="1:26" x14ac:dyDescent="0.3">
      <c r="A8" s="114"/>
      <c r="C8" s="115" t="s">
        <v>5</v>
      </c>
      <c r="D8" s="57" t="s">
        <v>5</v>
      </c>
      <c r="E8" s="31"/>
      <c r="F8" s="115" t="s">
        <v>6</v>
      </c>
      <c r="G8" s="115" t="s">
        <v>7</v>
      </c>
      <c r="H8" s="116"/>
      <c r="I8" s="116"/>
      <c r="J8" s="115" t="s">
        <v>8</v>
      </c>
      <c r="L8" s="85"/>
      <c r="M8" s="85"/>
      <c r="N8" s="85"/>
      <c r="Q8" s="117"/>
      <c r="T8" s="260" t="s">
        <v>6</v>
      </c>
      <c r="U8" s="115" t="s">
        <v>7</v>
      </c>
      <c r="V8" s="115"/>
      <c r="W8" s="260" t="s">
        <v>9</v>
      </c>
      <c r="X8" s="115" t="s">
        <v>8</v>
      </c>
    </row>
    <row r="9" spans="1:26" x14ac:dyDescent="0.3">
      <c r="A9" s="114"/>
      <c r="B9" s="125" t="s">
        <v>10</v>
      </c>
      <c r="C9" s="86">
        <v>9</v>
      </c>
      <c r="D9" s="87">
        <v>12</v>
      </c>
      <c r="E9" s="26"/>
      <c r="F9" s="27"/>
      <c r="G9" s="87">
        <v>82073</v>
      </c>
      <c r="H9" s="67">
        <f>G9/G14</f>
        <v>0.24921127983700289</v>
      </c>
      <c r="I9" s="244">
        <f>H9*$F$14</f>
        <v>209935.58213469124</v>
      </c>
      <c r="J9" s="90">
        <f>F155</f>
        <v>39832</v>
      </c>
      <c r="K9" s="100">
        <f>J9/J14</f>
        <v>0.33765088837650886</v>
      </c>
      <c r="L9" s="101">
        <f>J9/(J9+J10)</f>
        <v>0.8029350104821803</v>
      </c>
      <c r="M9" s="84"/>
      <c r="N9" s="84"/>
      <c r="Q9" s="117"/>
      <c r="S9" s="246" t="s">
        <v>10</v>
      </c>
      <c r="T9" s="247"/>
      <c r="U9" s="248">
        <v>82073</v>
      </c>
      <c r="V9" s="100">
        <f>U9/U14</f>
        <v>0.24921127983700289</v>
      </c>
      <c r="W9" s="249">
        <f>V9*$F$14</f>
        <v>209935.58213469124</v>
      </c>
      <c r="X9" s="250">
        <f>$F$30*V9</f>
        <v>2332.617579274347</v>
      </c>
    </row>
    <row r="10" spans="1:26" x14ac:dyDescent="0.3">
      <c r="A10" s="114"/>
      <c r="B10" s="126" t="s">
        <v>11</v>
      </c>
      <c r="C10" s="88">
        <v>2</v>
      </c>
      <c r="D10" s="89">
        <v>3</v>
      </c>
      <c r="E10" s="69"/>
      <c r="F10" s="70"/>
      <c r="G10" s="89">
        <v>23054</v>
      </c>
      <c r="H10" s="68">
        <f>G10/G14</f>
        <v>7.0002520260771084E-2</v>
      </c>
      <c r="I10" s="245">
        <f>H10*$F$14</f>
        <v>58970.123067673558</v>
      </c>
      <c r="J10" s="243">
        <f>F134</f>
        <v>9776</v>
      </c>
      <c r="K10" s="68">
        <f>J10/J14</f>
        <v>8.2869930828699312E-2</v>
      </c>
      <c r="L10" s="102">
        <f>J10/(J9+J10)</f>
        <v>0.1970649895178197</v>
      </c>
      <c r="M10" s="84"/>
      <c r="N10" s="84"/>
      <c r="Q10" s="117"/>
      <c r="S10" s="127" t="s">
        <v>11</v>
      </c>
      <c r="T10" s="58"/>
      <c r="U10" s="90">
        <v>23054</v>
      </c>
      <c r="V10" s="51">
        <f>U10/U14</f>
        <v>7.0002520260771084E-2</v>
      </c>
      <c r="W10" s="128">
        <f>V10*$F$14</f>
        <v>58970.123067673558</v>
      </c>
      <c r="X10" s="219">
        <f>$F$30*V10</f>
        <v>655.22358964081729</v>
      </c>
    </row>
    <row r="11" spans="1:26" x14ac:dyDescent="0.3">
      <c r="A11" s="114"/>
      <c r="B11" s="127" t="s">
        <v>12</v>
      </c>
      <c r="C11" s="118">
        <v>11</v>
      </c>
      <c r="D11" s="90">
        <v>15</v>
      </c>
      <c r="E11" s="9"/>
      <c r="F11" s="58"/>
      <c r="G11" s="90">
        <v>153143</v>
      </c>
      <c r="H11" s="51">
        <f>G11/G14</f>
        <v>0.46501240393403598</v>
      </c>
      <c r="I11" s="217">
        <f>H11*$F$14</f>
        <v>391726.4490740319</v>
      </c>
      <c r="J11" s="243">
        <f>F112</f>
        <v>49192</v>
      </c>
      <c r="K11" s="67">
        <f>J11/J14</f>
        <v>0.41699443916994439</v>
      </c>
      <c r="L11" s="103">
        <f>J11/(J11+J12+J13)</f>
        <v>0.71960210649502632</v>
      </c>
      <c r="M11" s="84"/>
      <c r="N11" s="84"/>
      <c r="Q11" s="117"/>
      <c r="S11" s="246" t="s">
        <v>12</v>
      </c>
      <c r="T11" s="129"/>
      <c r="U11" s="248">
        <v>153143</v>
      </c>
      <c r="V11" s="100">
        <f>U11/U14</f>
        <v>0.46501240393403598</v>
      </c>
      <c r="W11" s="249">
        <f>V11*$F$14</f>
        <v>391726.4490740319</v>
      </c>
      <c r="X11" s="250">
        <f>$F$30*V11</f>
        <v>4352.5161008225768</v>
      </c>
    </row>
    <row r="12" spans="1:26" x14ac:dyDescent="0.3">
      <c r="A12" s="114"/>
      <c r="B12" s="127" t="s">
        <v>13</v>
      </c>
      <c r="C12" s="118">
        <v>2</v>
      </c>
      <c r="D12" s="90">
        <v>3</v>
      </c>
      <c r="E12" s="9"/>
      <c r="F12" s="58"/>
      <c r="G12" s="90">
        <v>37964</v>
      </c>
      <c r="H12" s="51">
        <f>G12/G14</f>
        <v>0.11527612037737109</v>
      </c>
      <c r="I12" s="217">
        <f>H12*$F$14</f>
        <v>97108.603805897408</v>
      </c>
      <c r="J12" s="243">
        <f>F70</f>
        <v>9600</v>
      </c>
      <c r="K12" s="51">
        <f>J12/J14</f>
        <v>8.1378000813780008E-2</v>
      </c>
      <c r="L12" s="104">
        <f>J12/(J11+J12+J13)</f>
        <v>0.14043300175541251</v>
      </c>
      <c r="M12" s="84"/>
      <c r="N12" s="84"/>
      <c r="Q12" s="117"/>
      <c r="S12" s="127" t="s">
        <v>13</v>
      </c>
      <c r="T12" s="58"/>
      <c r="U12" s="90">
        <v>37964</v>
      </c>
      <c r="V12" s="51">
        <f>U12/U14</f>
        <v>0.11527612037737109</v>
      </c>
      <c r="W12" s="128">
        <f>V12*$F$14</f>
        <v>97108.603805897408</v>
      </c>
      <c r="X12" s="219">
        <f>$F$30*V12</f>
        <v>1078.9844867321933</v>
      </c>
    </row>
    <row r="13" spans="1:26" x14ac:dyDescent="0.3">
      <c r="A13" s="114"/>
      <c r="B13" s="127" t="s">
        <v>14</v>
      </c>
      <c r="C13" s="118">
        <v>2</v>
      </c>
      <c r="D13" s="90">
        <v>3</v>
      </c>
      <c r="E13" s="9"/>
      <c r="F13" s="58"/>
      <c r="G13" s="90">
        <v>33097</v>
      </c>
      <c r="H13" s="51">
        <f>G13/G14</f>
        <v>0.10049767559081896</v>
      </c>
      <c r="I13" s="217">
        <f>H13*$F$14</f>
        <v>84659.241917705891</v>
      </c>
      <c r="J13" s="243">
        <f>F91</f>
        <v>9568</v>
      </c>
      <c r="K13" s="105">
        <f>J13/J14</f>
        <v>8.1106740811067404E-2</v>
      </c>
      <c r="L13" s="106">
        <f>J13/(J11+J12+J13)</f>
        <v>0.13996489174956114</v>
      </c>
      <c r="M13" s="84"/>
      <c r="N13" s="84"/>
      <c r="Q13" s="117"/>
      <c r="S13" s="251" t="s">
        <v>14</v>
      </c>
      <c r="T13" s="174"/>
      <c r="U13" s="252">
        <v>33097</v>
      </c>
      <c r="V13" s="105">
        <f>U13/U14</f>
        <v>0.10049767559081896</v>
      </c>
      <c r="W13" s="253">
        <f>V13*$F$14</f>
        <v>84659.241917705891</v>
      </c>
      <c r="X13" s="254">
        <f>$F$30*V13</f>
        <v>940.65824353006542</v>
      </c>
    </row>
    <row r="14" spans="1:26" x14ac:dyDescent="0.3">
      <c r="A14" s="114"/>
      <c r="B14" s="77"/>
      <c r="C14" s="52">
        <f>SUM(C9:C13)</f>
        <v>26</v>
      </c>
      <c r="D14" s="91">
        <f>SUM(D9:D13)</f>
        <v>36</v>
      </c>
      <c r="E14" s="24"/>
      <c r="F14" s="54">
        <f>12*260*3*90</f>
        <v>842400</v>
      </c>
      <c r="G14" s="91">
        <f>SUM(G9:G13)</f>
        <v>329331</v>
      </c>
      <c r="H14" s="53">
        <f>SUM(H9:H13)</f>
        <v>1</v>
      </c>
      <c r="I14" s="205">
        <f>SUM(I9:I13)</f>
        <v>842400</v>
      </c>
      <c r="J14" s="243">
        <f>SUM(J9:J13)</f>
        <v>117968</v>
      </c>
      <c r="K14" s="66">
        <f>SUM(K9:K13)</f>
        <v>1</v>
      </c>
      <c r="L14" s="84"/>
      <c r="M14" s="84"/>
      <c r="N14" s="84"/>
      <c r="Q14" s="117"/>
      <c r="S14" s="255"/>
      <c r="T14" s="256">
        <f>12*260*3*90</f>
        <v>842400</v>
      </c>
      <c r="U14" s="257">
        <f>SUM(U9:U13)</f>
        <v>329331</v>
      </c>
      <c r="V14" s="66">
        <f>SUM(V9:V13)</f>
        <v>1</v>
      </c>
      <c r="W14" s="258">
        <f>SUM(W9:W13)</f>
        <v>842400</v>
      </c>
      <c r="X14" s="259">
        <f>SUM(X9:X13)</f>
        <v>9360</v>
      </c>
    </row>
    <row r="15" spans="1:26" x14ac:dyDescent="0.3">
      <c r="A15" s="114"/>
      <c r="D15" s="30"/>
      <c r="E15" s="31"/>
      <c r="L15" s="85"/>
      <c r="M15" s="85"/>
      <c r="N15" s="85"/>
      <c r="Q15" s="117"/>
    </row>
    <row r="16" spans="1:26" x14ac:dyDescent="0.3">
      <c r="A16" s="114"/>
      <c r="B16" s="93" t="s">
        <v>15</v>
      </c>
      <c r="C16" s="119">
        <v>1</v>
      </c>
      <c r="D16" s="30"/>
      <c r="E16" s="31"/>
      <c r="L16" s="31"/>
      <c r="M16" s="85"/>
      <c r="N16" s="85"/>
      <c r="Q16" s="117"/>
    </row>
    <row r="17" spans="1:26" ht="15.75" customHeight="1" x14ac:dyDescent="0.3">
      <c r="A17" s="114"/>
      <c r="D17" s="30"/>
      <c r="E17" s="31"/>
      <c r="L17" s="31"/>
      <c r="M17" s="31"/>
      <c r="N17" s="31"/>
      <c r="Q17" s="117"/>
    </row>
    <row r="18" spans="1:26" ht="21" x14ac:dyDescent="0.4">
      <c r="A18" s="107"/>
      <c r="B18" s="1350" t="s">
        <v>16</v>
      </c>
      <c r="C18" s="1350"/>
      <c r="D18" s="1350"/>
      <c r="E18" s="1350"/>
      <c r="F18" s="1350"/>
      <c r="G18" s="1350"/>
      <c r="H18" s="1350"/>
      <c r="I18" s="1350"/>
      <c r="J18" s="1350"/>
      <c r="K18" s="1350"/>
      <c r="L18" s="1350"/>
      <c r="M18" s="1350"/>
      <c r="N18" s="1350"/>
      <c r="O18" s="1351"/>
      <c r="P18" s="140"/>
      <c r="Q18" s="113"/>
    </row>
    <row r="19" spans="1:26" x14ac:dyDescent="0.3">
      <c r="A19" s="114"/>
      <c r="B19" s="1352" t="s">
        <v>17</v>
      </c>
      <c r="C19" s="1352"/>
      <c r="D19" s="1352"/>
      <c r="E19" s="1352"/>
      <c r="F19" s="1352"/>
      <c r="G19" s="1352"/>
      <c r="H19" s="1352"/>
      <c r="I19" s="1352"/>
      <c r="J19" s="1352"/>
      <c r="K19" s="1352"/>
      <c r="L19" s="1352"/>
      <c r="M19" s="1352"/>
      <c r="N19" s="1352"/>
      <c r="O19" s="1353"/>
      <c r="P19" s="60"/>
      <c r="Q19" s="117"/>
    </row>
    <row r="20" spans="1:26" ht="18" x14ac:dyDescent="0.35">
      <c r="A20" s="114"/>
      <c r="B20" s="209" t="s">
        <v>18</v>
      </c>
      <c r="C20" s="129" t="s">
        <v>19</v>
      </c>
      <c r="D20" s="207" t="s">
        <v>20</v>
      </c>
      <c r="E20" s="208"/>
      <c r="F20" s="1347" t="s">
        <v>21</v>
      </c>
      <c r="G20" s="1348"/>
      <c r="H20" s="1348"/>
      <c r="I20" s="1347" t="s">
        <v>22</v>
      </c>
      <c r="J20" s="1348"/>
      <c r="K20" s="1348"/>
      <c r="L20" s="178" t="s">
        <v>23</v>
      </c>
      <c r="M20" s="176"/>
      <c r="N20" s="177"/>
      <c r="O20" s="21"/>
      <c r="P20" s="61" t="s">
        <v>24</v>
      </c>
      <c r="Q20" s="117"/>
    </row>
    <row r="21" spans="1:26" ht="15.6" x14ac:dyDescent="0.3">
      <c r="A21" s="114"/>
      <c r="B21" s="210" t="s">
        <v>25</v>
      </c>
      <c r="C21" s="141" t="s">
        <v>26</v>
      </c>
      <c r="D21" s="4" t="s">
        <v>26</v>
      </c>
      <c r="E21" s="5"/>
      <c r="F21" s="130"/>
      <c r="G21" s="129" t="s">
        <v>27</v>
      </c>
      <c r="H21" s="129" t="s">
        <v>27</v>
      </c>
      <c r="I21" s="130"/>
      <c r="J21" s="129"/>
      <c r="K21" s="129"/>
      <c r="L21" s="179" t="s">
        <v>28</v>
      </c>
      <c r="M21" s="17"/>
      <c r="N21" s="133"/>
      <c r="O21" s="21"/>
      <c r="P21" s="61" t="s">
        <v>29</v>
      </c>
      <c r="Q21" s="117"/>
    </row>
    <row r="22" spans="1:26" x14ac:dyDescent="0.3">
      <c r="A22" s="114"/>
      <c r="B22" s="127" t="s">
        <v>30</v>
      </c>
      <c r="C22" s="58" t="s">
        <v>31</v>
      </c>
      <c r="D22" s="8"/>
      <c r="E22" s="9"/>
      <c r="F22" s="169" t="s">
        <v>29</v>
      </c>
      <c r="G22" s="170" t="s">
        <v>32</v>
      </c>
      <c r="H22" s="175" t="s">
        <v>33</v>
      </c>
      <c r="I22" s="169" t="s">
        <v>34</v>
      </c>
      <c r="J22" s="174" t="s">
        <v>35</v>
      </c>
      <c r="K22" s="174" t="s">
        <v>36</v>
      </c>
      <c r="L22" s="238" t="s">
        <v>29</v>
      </c>
      <c r="M22" s="43" t="s">
        <v>32</v>
      </c>
      <c r="N22" s="134" t="s">
        <v>33</v>
      </c>
      <c r="O22" s="22" t="s">
        <v>37</v>
      </c>
      <c r="P22" s="60"/>
      <c r="Q22" s="117"/>
    </row>
    <row r="23" spans="1:26" x14ac:dyDescent="0.3">
      <c r="A23" s="114"/>
      <c r="B23" s="211" t="s">
        <v>38</v>
      </c>
      <c r="C23" s="92">
        <v>8</v>
      </c>
      <c r="D23" s="15">
        <f>D14</f>
        <v>36</v>
      </c>
      <c r="E23" s="6"/>
      <c r="F23" s="164">
        <f>(C23*D23*260)</f>
        <v>74880</v>
      </c>
      <c r="G23" s="153">
        <f>F23*1.1</f>
        <v>82368</v>
      </c>
      <c r="H23" s="165">
        <f>F23*1.2</f>
        <v>89856</v>
      </c>
      <c r="I23" s="154">
        <f>F23*5</f>
        <v>374400</v>
      </c>
      <c r="J23" s="153">
        <f>F23*5.5</f>
        <v>411840</v>
      </c>
      <c r="K23" s="153">
        <f>F23*6</f>
        <v>449280</v>
      </c>
      <c r="L23" s="180">
        <f>F23*65</f>
        <v>4867200</v>
      </c>
      <c r="M23" s="18">
        <f>G23*65</f>
        <v>5353920</v>
      </c>
      <c r="N23" s="135">
        <f>H23*65</f>
        <v>5840640</v>
      </c>
      <c r="O23" s="21"/>
      <c r="P23" s="60"/>
      <c r="Q23" s="117"/>
      <c r="R23" s="97">
        <f>L63+L84+L105+L127+L148</f>
        <v>4867200</v>
      </c>
    </row>
    <row r="24" spans="1:26" x14ac:dyDescent="0.3">
      <c r="A24" s="114"/>
      <c r="B24" s="127" t="s">
        <v>39</v>
      </c>
      <c r="C24" s="58" t="s">
        <v>31</v>
      </c>
      <c r="D24" s="15"/>
      <c r="E24" s="6"/>
      <c r="F24" s="164"/>
      <c r="G24" s="153"/>
      <c r="H24" s="165"/>
      <c r="I24" s="154"/>
      <c r="J24" s="153"/>
      <c r="K24" s="153"/>
      <c r="L24" s="180"/>
      <c r="M24" s="18"/>
      <c r="N24" s="135"/>
      <c r="O24" s="21"/>
      <c r="P24" s="60"/>
      <c r="Q24" s="117"/>
    </row>
    <row r="25" spans="1:26" x14ac:dyDescent="0.3">
      <c r="A25" s="114"/>
      <c r="B25" s="211" t="s">
        <v>40</v>
      </c>
      <c r="C25" s="92">
        <v>6</v>
      </c>
      <c r="D25" s="15">
        <f>C14</f>
        <v>26</v>
      </c>
      <c r="E25" s="6"/>
      <c r="F25" s="164">
        <f>(C25*D25*260)</f>
        <v>40560</v>
      </c>
      <c r="G25" s="153">
        <f>F25*1.1</f>
        <v>44616</v>
      </c>
      <c r="H25" s="165">
        <f>F25*1.2</f>
        <v>48672</v>
      </c>
      <c r="I25" s="154">
        <f>F25*3</f>
        <v>121680</v>
      </c>
      <c r="J25" s="153">
        <f>F25*4</f>
        <v>162240</v>
      </c>
      <c r="K25" s="153">
        <f>F25*5</f>
        <v>202800</v>
      </c>
      <c r="L25" s="180">
        <f>F25*65</f>
        <v>2636400</v>
      </c>
      <c r="M25" s="18">
        <f>G25*65</f>
        <v>2900040</v>
      </c>
      <c r="N25" s="135">
        <f>H25*65</f>
        <v>3163680</v>
      </c>
      <c r="O25" s="21"/>
      <c r="P25" s="60"/>
      <c r="Q25" s="117"/>
      <c r="R25" s="97">
        <f>L65+L86+L107+L129+L150</f>
        <v>2636400</v>
      </c>
    </row>
    <row r="26" spans="1:26" x14ac:dyDescent="0.3">
      <c r="A26" s="114"/>
      <c r="B26" s="127" t="s">
        <v>41</v>
      </c>
      <c r="C26" s="92" t="s">
        <v>42</v>
      </c>
      <c r="D26" s="15"/>
      <c r="E26" s="6"/>
      <c r="F26" s="164"/>
      <c r="G26" s="153"/>
      <c r="H26" s="165"/>
      <c r="I26" s="154"/>
      <c r="J26" s="153"/>
      <c r="K26" s="153"/>
      <c r="L26" s="180"/>
      <c r="M26" s="18"/>
      <c r="N26" s="135"/>
      <c r="O26" s="21"/>
      <c r="P26" s="60"/>
      <c r="Q26" s="117"/>
    </row>
    <row r="27" spans="1:26" x14ac:dyDescent="0.3">
      <c r="A27" s="114"/>
      <c r="B27" s="127" t="s">
        <v>43</v>
      </c>
      <c r="C27" s="92"/>
      <c r="D27" s="15"/>
      <c r="E27" s="6"/>
      <c r="F27" s="164"/>
      <c r="G27" s="153"/>
      <c r="H27" s="165"/>
      <c r="I27" s="154"/>
      <c r="J27" s="153"/>
      <c r="K27" s="153"/>
      <c r="L27" s="180">
        <f>L67+L88+L109+L131+L151</f>
        <v>670453</v>
      </c>
      <c r="M27" s="18"/>
      <c r="N27" s="135"/>
      <c r="O27" s="21"/>
      <c r="P27" s="60"/>
      <c r="Q27" s="117"/>
      <c r="R27" s="97">
        <f>L67+L88+L109+L131+L151</f>
        <v>670453</v>
      </c>
    </row>
    <row r="28" spans="1:26" x14ac:dyDescent="0.3">
      <c r="A28" s="114"/>
      <c r="B28" s="211" t="s">
        <v>44</v>
      </c>
      <c r="C28" s="92">
        <v>8</v>
      </c>
      <c r="D28" s="15">
        <v>6</v>
      </c>
      <c r="E28" s="6"/>
      <c r="F28" s="164">
        <f>F68+F89+F110+F132+F153</f>
        <v>2528</v>
      </c>
      <c r="G28" s="167">
        <f>F28*1.1</f>
        <v>2780.8</v>
      </c>
      <c r="H28" s="168">
        <f>F28*1.2</f>
        <v>3033.6</v>
      </c>
      <c r="I28" s="154">
        <f>F28*1.5</f>
        <v>3792</v>
      </c>
      <c r="J28" s="154">
        <f>G28*1.5</f>
        <v>4171.2000000000007</v>
      </c>
      <c r="K28" s="154">
        <f>H28*1.5</f>
        <v>4550.3999999999996</v>
      </c>
      <c r="L28" s="181">
        <f>F28*65</f>
        <v>164320</v>
      </c>
      <c r="M28" s="136">
        <f>G28*65</f>
        <v>180752</v>
      </c>
      <c r="N28" s="137">
        <f>H28*65</f>
        <v>197184</v>
      </c>
      <c r="O28" s="21"/>
      <c r="P28" s="60"/>
      <c r="Q28" s="117"/>
      <c r="R28" s="97">
        <f>L68+L89+L110+L132+L153</f>
        <v>164320</v>
      </c>
    </row>
    <row r="29" spans="1:26" x14ac:dyDescent="0.3">
      <c r="A29" s="114"/>
      <c r="B29" s="212" t="s">
        <v>45</v>
      </c>
      <c r="C29" s="12"/>
      <c r="D29" s="13"/>
      <c r="E29" s="13"/>
      <c r="F29" s="172">
        <f t="shared" ref="F29:N29" si="0">SUM(F23:F28)</f>
        <v>117968</v>
      </c>
      <c r="G29" s="162">
        <f t="shared" si="0"/>
        <v>129764.8</v>
      </c>
      <c r="H29" s="173">
        <f t="shared" si="0"/>
        <v>141561.60000000001</v>
      </c>
      <c r="I29" s="155">
        <f t="shared" si="0"/>
        <v>499872</v>
      </c>
      <c r="J29" s="155">
        <f>SUM(J23:J28)</f>
        <v>578251.19999999995</v>
      </c>
      <c r="K29" s="155">
        <f t="shared" si="0"/>
        <v>656630.4</v>
      </c>
      <c r="L29" s="156">
        <f>SUM(L23:L28)</f>
        <v>8338373</v>
      </c>
      <c r="M29" s="138">
        <f t="shared" si="0"/>
        <v>8434712</v>
      </c>
      <c r="N29" s="139">
        <f t="shared" si="0"/>
        <v>9201504</v>
      </c>
      <c r="O29" s="23"/>
      <c r="P29" s="60"/>
      <c r="Q29" s="117"/>
    </row>
    <row r="30" spans="1:26" x14ac:dyDescent="0.3">
      <c r="A30" s="114"/>
      <c r="B30" s="127" t="s">
        <v>46</v>
      </c>
      <c r="C30" s="92">
        <v>12</v>
      </c>
      <c r="D30" s="15">
        <v>3</v>
      </c>
      <c r="E30" s="15"/>
      <c r="F30" s="154">
        <f>(C30*D30*260)</f>
        <v>9360</v>
      </c>
      <c r="G30" s="153">
        <f>F30*1.1</f>
        <v>10296</v>
      </c>
      <c r="H30" s="153">
        <f>F30*1.2</f>
        <v>11232</v>
      </c>
      <c r="I30" s="154">
        <f>10*5*2*290</f>
        <v>29000</v>
      </c>
      <c r="J30" s="154">
        <f>10*7*2*290</f>
        <v>40600</v>
      </c>
      <c r="K30" s="154">
        <f>10*8*2*290</f>
        <v>46400</v>
      </c>
      <c r="L30" s="157">
        <f>F30*90</f>
        <v>842400</v>
      </c>
      <c r="M30" s="20">
        <f>12*259*86*6</f>
        <v>1603728</v>
      </c>
      <c r="N30" s="16">
        <f>12*259*86*6</f>
        <v>1603728</v>
      </c>
      <c r="O30" s="23"/>
      <c r="P30" s="60"/>
      <c r="Q30" s="117"/>
    </row>
    <row r="31" spans="1:26" x14ac:dyDescent="0.3">
      <c r="A31" s="114"/>
      <c r="B31" s="127" t="s">
        <v>47</v>
      </c>
      <c r="C31" s="92"/>
      <c r="D31" s="15">
        <v>20</v>
      </c>
      <c r="E31" s="15"/>
      <c r="F31" s="154">
        <v>32958.050000000003</v>
      </c>
      <c r="G31" s="153"/>
      <c r="H31" s="153"/>
      <c r="I31" s="154"/>
      <c r="J31" s="153">
        <v>70000</v>
      </c>
      <c r="K31" s="153"/>
      <c r="L31" s="158">
        <v>2641604</v>
      </c>
      <c r="M31" s="20">
        <v>2592992</v>
      </c>
      <c r="N31" s="16">
        <v>2592992</v>
      </c>
      <c r="O31" s="23"/>
      <c r="P31" s="60"/>
      <c r="Q31" s="117"/>
      <c r="S31" s="261"/>
      <c r="T31" s="58"/>
      <c r="U31" s="10"/>
      <c r="V31" s="58"/>
      <c r="W31" s="58"/>
      <c r="X31" s="94"/>
      <c r="Y31" s="94"/>
      <c r="Z31" s="58"/>
    </row>
    <row r="32" spans="1:26" ht="15" customHeight="1" x14ac:dyDescent="0.3">
      <c r="A32" s="114"/>
      <c r="B32" s="127" t="s">
        <v>48</v>
      </c>
      <c r="C32" s="92"/>
      <c r="D32" s="15"/>
      <c r="E32" s="15"/>
      <c r="F32" s="154">
        <v>56548</v>
      </c>
      <c r="G32" s="153"/>
      <c r="H32" s="153"/>
      <c r="I32" s="154"/>
      <c r="J32" s="153">
        <v>169644</v>
      </c>
      <c r="K32" s="153"/>
      <c r="L32" s="158">
        <f>4241400-(F32*10)</f>
        <v>3675920</v>
      </c>
      <c r="M32" s="20"/>
      <c r="N32" s="16"/>
      <c r="O32" s="23"/>
      <c r="P32" s="60"/>
      <c r="Q32" s="117"/>
      <c r="S32" s="1360" t="s">
        <v>49</v>
      </c>
      <c r="T32" s="1355" t="s">
        <v>50</v>
      </c>
      <c r="U32" s="1358" t="s">
        <v>51</v>
      </c>
      <c r="V32" s="1358" t="s">
        <v>52</v>
      </c>
      <c r="W32" s="1355" t="s">
        <v>53</v>
      </c>
      <c r="X32" s="1355" t="s">
        <v>54</v>
      </c>
    </row>
    <row r="33" spans="1:26" x14ac:dyDescent="0.3">
      <c r="A33" s="114"/>
      <c r="B33" s="213" t="s">
        <v>55</v>
      </c>
      <c r="C33" s="46"/>
      <c r="D33" s="47"/>
      <c r="E33" s="47"/>
      <c r="F33" s="48">
        <f t="shared" ref="F33:L33" si="1">F29+F30+F31+F32</f>
        <v>216834.05</v>
      </c>
      <c r="G33" s="48">
        <f t="shared" si="1"/>
        <v>140060.79999999999</v>
      </c>
      <c r="H33" s="48">
        <f t="shared" si="1"/>
        <v>152793.60000000001</v>
      </c>
      <c r="I33" s="48">
        <f t="shared" si="1"/>
        <v>528872</v>
      </c>
      <c r="J33" s="48">
        <f t="shared" si="1"/>
        <v>858495.2</v>
      </c>
      <c r="K33" s="48">
        <f t="shared" si="1"/>
        <v>703030.4</v>
      </c>
      <c r="L33" s="206">
        <f t="shared" si="1"/>
        <v>15498297</v>
      </c>
      <c r="M33" s="55">
        <f>SUM(M29:M31)</f>
        <v>12631432</v>
      </c>
      <c r="N33" s="49">
        <f>SUM(N29:N31)</f>
        <v>13398224</v>
      </c>
      <c r="O33" s="50">
        <f>N33-L33</f>
        <v>-2100073</v>
      </c>
      <c r="P33" s="62">
        <f>5149835+2883500+3001770</f>
        <v>11035105</v>
      </c>
      <c r="Q33" s="117"/>
      <c r="S33" s="1360"/>
      <c r="T33" s="1355"/>
      <c r="U33" s="1358"/>
      <c r="V33" s="1358"/>
      <c r="W33" s="1355"/>
      <c r="X33" s="1355"/>
    </row>
    <row r="34" spans="1:26" ht="18" x14ac:dyDescent="0.35">
      <c r="A34" s="114"/>
      <c r="B34" s="214" t="s">
        <v>56</v>
      </c>
      <c r="C34" s="92"/>
      <c r="D34" s="15"/>
      <c r="E34" s="15"/>
      <c r="F34" s="237"/>
      <c r="G34" s="16"/>
      <c r="H34" s="16"/>
      <c r="I34" s="16"/>
      <c r="J34" s="16"/>
      <c r="K34" s="16"/>
      <c r="L34" s="56"/>
      <c r="M34" s="44"/>
      <c r="N34" s="59"/>
      <c r="O34" s="42"/>
      <c r="P34" s="60"/>
      <c r="Q34" s="117"/>
      <c r="S34" s="1361"/>
      <c r="T34" s="1356"/>
      <c r="U34" s="1359"/>
      <c r="V34" s="1359"/>
      <c r="W34" s="1356"/>
      <c r="X34" s="1356"/>
    </row>
    <row r="35" spans="1:26" x14ac:dyDescent="0.3">
      <c r="A35" s="114"/>
      <c r="B35" s="211" t="s">
        <v>57</v>
      </c>
      <c r="C35" s="92"/>
      <c r="D35" s="15"/>
      <c r="E35" s="15"/>
      <c r="F35" s="132"/>
      <c r="G35" s="16"/>
      <c r="H35" s="16"/>
      <c r="I35" s="16"/>
      <c r="J35" s="16"/>
      <c r="K35" s="16"/>
      <c r="L35" s="160">
        <f>(L48+L51+L54)*-1</f>
        <v>-6164398</v>
      </c>
      <c r="M35" s="44">
        <f>-(2970479+1673250+1253517)</f>
        <v>-5897246</v>
      </c>
      <c r="N35" s="59">
        <f>-(2970479+1673250+1253517)</f>
        <v>-5897246</v>
      </c>
      <c r="O35" s="42"/>
      <c r="P35" s="62">
        <f>-(2970479+1673250+1253517)</f>
        <v>-5897246</v>
      </c>
      <c r="Q35" s="117"/>
      <c r="S35" s="262" t="s">
        <v>58</v>
      </c>
      <c r="T35" s="263">
        <v>60476.325199999992</v>
      </c>
      <c r="U35" s="264">
        <v>9383</v>
      </c>
      <c r="V35" s="264">
        <v>134383</v>
      </c>
      <c r="W35" s="265">
        <v>100793</v>
      </c>
      <c r="X35" s="265">
        <v>125000</v>
      </c>
      <c r="Z35" s="274">
        <f>ROUND(W35,0)</f>
        <v>100793</v>
      </c>
    </row>
    <row r="36" spans="1:26" x14ac:dyDescent="0.3">
      <c r="A36" s="114"/>
      <c r="B36" s="211" t="s">
        <v>59</v>
      </c>
      <c r="C36" s="92"/>
      <c r="D36" s="15"/>
      <c r="E36" s="15"/>
      <c r="F36" s="132"/>
      <c r="G36" s="16"/>
      <c r="H36" s="16"/>
      <c r="I36" s="16"/>
      <c r="J36" s="16"/>
      <c r="K36" s="16"/>
      <c r="L36" s="159">
        <v>-500000</v>
      </c>
      <c r="M36" s="44"/>
      <c r="N36" s="59"/>
      <c r="O36" s="42"/>
      <c r="P36" s="62"/>
      <c r="Q36" s="117"/>
      <c r="S36" s="262" t="s">
        <v>60</v>
      </c>
      <c r="T36" s="263">
        <v>197197.3426</v>
      </c>
      <c r="U36" s="264">
        <v>30595</v>
      </c>
      <c r="V36" s="264">
        <v>104111</v>
      </c>
      <c r="W36" s="265">
        <v>301309</v>
      </c>
      <c r="X36" s="265">
        <v>50000</v>
      </c>
      <c r="Z36" s="274">
        <f t="shared" ref="Z36:Z43" si="2">ROUND(W36,0)</f>
        <v>301309</v>
      </c>
    </row>
    <row r="37" spans="1:26" x14ac:dyDescent="0.3">
      <c r="A37" s="114"/>
      <c r="B37" s="211" t="s">
        <v>61</v>
      </c>
      <c r="C37" s="92"/>
      <c r="D37" s="15"/>
      <c r="E37" s="15"/>
      <c r="F37" s="16"/>
      <c r="G37" s="16"/>
      <c r="H37" s="16"/>
      <c r="I37" s="16"/>
      <c r="J37" s="16"/>
      <c r="K37" s="16"/>
      <c r="L37" s="159">
        <f>(L49+L52+L55)*-1</f>
        <v>-1525568</v>
      </c>
      <c r="M37" s="44">
        <f>-(415133+519759+601585)</f>
        <v>-1536477</v>
      </c>
      <c r="N37" s="59">
        <f>-(415133+519759+601585)</f>
        <v>-1536477</v>
      </c>
      <c r="O37" s="21"/>
      <c r="P37" s="62">
        <f>-(415133+519759+601585)</f>
        <v>-1536477</v>
      </c>
      <c r="Q37" s="117"/>
      <c r="S37" s="266" t="s">
        <v>62</v>
      </c>
      <c r="T37" s="267">
        <v>174565.09820000001</v>
      </c>
      <c r="U37" s="273">
        <v>0</v>
      </c>
      <c r="V37" s="273">
        <v>0</v>
      </c>
      <c r="W37" s="268">
        <v>174565</v>
      </c>
      <c r="X37" s="268">
        <v>0</v>
      </c>
      <c r="Z37" s="274">
        <f t="shared" si="2"/>
        <v>174565</v>
      </c>
    </row>
    <row r="38" spans="1:26" x14ac:dyDescent="0.3">
      <c r="A38" s="114"/>
      <c r="B38" s="211" t="s">
        <v>63</v>
      </c>
      <c r="C38" s="92"/>
      <c r="D38" s="15"/>
      <c r="E38" s="15"/>
      <c r="F38" s="16"/>
      <c r="G38" s="16"/>
      <c r="H38" s="16"/>
      <c r="I38" s="16"/>
      <c r="J38" s="16"/>
      <c r="K38" s="16"/>
      <c r="L38" s="158">
        <v>-1113000</v>
      </c>
      <c r="M38" s="20">
        <v>-1400000</v>
      </c>
      <c r="N38" s="16">
        <v>-1400000</v>
      </c>
      <c r="O38" s="21"/>
      <c r="P38" s="62">
        <f>-917223-634691-404368</f>
        <v>-1956282</v>
      </c>
      <c r="Q38" s="117"/>
      <c r="S38" s="262" t="s">
        <v>64</v>
      </c>
      <c r="T38" s="263">
        <v>179759.38380000001</v>
      </c>
      <c r="U38" s="264">
        <v>27890</v>
      </c>
      <c r="V38" s="264">
        <v>119839</v>
      </c>
      <c r="W38" s="265">
        <v>299598</v>
      </c>
      <c r="X38" s="265">
        <v>68433</v>
      </c>
      <c r="Z38" s="274">
        <f t="shared" si="2"/>
        <v>299598</v>
      </c>
    </row>
    <row r="39" spans="1:26" x14ac:dyDescent="0.3">
      <c r="A39" s="114"/>
      <c r="B39" s="211" t="s">
        <v>65</v>
      </c>
      <c r="C39" s="92"/>
      <c r="D39" s="15"/>
      <c r="E39" s="15"/>
      <c r="F39" s="16"/>
      <c r="G39" s="16"/>
      <c r="H39" s="16"/>
      <c r="I39" s="16"/>
      <c r="J39" s="16"/>
      <c r="K39" s="16"/>
      <c r="L39" s="158">
        <f>((J29+J30+J31)*C16)*-1</f>
        <v>-688851.2</v>
      </c>
      <c r="M39" s="20"/>
      <c r="N39" s="16"/>
      <c r="O39" s="21"/>
      <c r="P39" s="62"/>
      <c r="Q39" s="117"/>
      <c r="S39" s="262" t="s">
        <v>66</v>
      </c>
      <c r="T39" s="263">
        <v>303680.1974</v>
      </c>
      <c r="U39" s="264">
        <v>47116</v>
      </c>
      <c r="V39" s="264">
        <v>202451</v>
      </c>
      <c r="W39" s="265">
        <v>506131</v>
      </c>
      <c r="X39" s="265">
        <v>155335</v>
      </c>
      <c r="Z39" s="274">
        <f t="shared" si="2"/>
        <v>506131</v>
      </c>
    </row>
    <row r="40" spans="1:26" x14ac:dyDescent="0.3">
      <c r="A40" s="114"/>
      <c r="B40" s="211" t="s">
        <v>67</v>
      </c>
      <c r="C40" s="92"/>
      <c r="D40" s="15"/>
      <c r="E40" s="15"/>
      <c r="F40" s="16"/>
      <c r="G40" s="16"/>
      <c r="H40" s="16"/>
      <c r="I40" s="16"/>
      <c r="J40" s="16"/>
      <c r="K40" s="16"/>
      <c r="L40" s="158">
        <f>L117*-1</f>
        <v>-650000</v>
      </c>
      <c r="M40" s="20"/>
      <c r="N40" s="16"/>
      <c r="O40" s="21"/>
      <c r="P40" s="62"/>
      <c r="Q40" s="117"/>
      <c r="S40" s="262" t="s">
        <v>68</v>
      </c>
      <c r="T40" s="263">
        <v>88117.345000000001</v>
      </c>
      <c r="U40" s="264">
        <v>13671</v>
      </c>
      <c r="V40" s="264">
        <v>58744</v>
      </c>
      <c r="W40" s="265">
        <v>146862</v>
      </c>
      <c r="X40" s="265">
        <v>45073</v>
      </c>
      <c r="Z40" s="274">
        <f t="shared" si="2"/>
        <v>146862</v>
      </c>
    </row>
    <row r="41" spans="1:26" x14ac:dyDescent="0.3">
      <c r="A41" s="114"/>
      <c r="B41" s="211" t="s">
        <v>69</v>
      </c>
      <c r="C41" s="92"/>
      <c r="D41" s="15"/>
      <c r="E41" s="15"/>
      <c r="F41" s="16"/>
      <c r="G41" s="16"/>
      <c r="H41" s="16"/>
      <c r="I41" s="16"/>
      <c r="J41" s="16"/>
      <c r="K41" s="16"/>
      <c r="L41" s="158">
        <f>L162*-1</f>
        <v>-308936.655996799</v>
      </c>
      <c r="M41" s="20"/>
      <c r="N41" s="16"/>
      <c r="O41" s="21"/>
      <c r="P41" s="62"/>
      <c r="Q41" s="117"/>
      <c r="S41" s="262" t="s">
        <v>70</v>
      </c>
      <c r="T41" s="263">
        <v>601053.04800000007</v>
      </c>
      <c r="U41" s="264">
        <v>93254</v>
      </c>
      <c r="V41" s="264">
        <v>215287</v>
      </c>
      <c r="W41" s="265">
        <v>816341</v>
      </c>
      <c r="X41" s="265">
        <v>75000</v>
      </c>
      <c r="Z41" s="274">
        <f t="shared" si="2"/>
        <v>816341</v>
      </c>
    </row>
    <row r="42" spans="1:26" x14ac:dyDescent="0.3">
      <c r="A42" s="114"/>
      <c r="B42" s="211" t="s">
        <v>71</v>
      </c>
      <c r="C42" s="92"/>
      <c r="D42" s="15"/>
      <c r="E42" s="15"/>
      <c r="F42" s="16"/>
      <c r="G42" s="16"/>
      <c r="H42" s="16"/>
      <c r="I42" s="16"/>
      <c r="J42" s="16"/>
      <c r="K42" s="16"/>
      <c r="L42" s="158">
        <f>L141*-1</f>
        <v>-55372.767827564385</v>
      </c>
      <c r="M42" s="20"/>
      <c r="N42" s="16"/>
      <c r="O42" s="21"/>
      <c r="P42" s="62"/>
      <c r="Q42" s="117"/>
      <c r="S42" s="266" t="s">
        <v>72</v>
      </c>
      <c r="T42" s="267">
        <v>116500.40559999998</v>
      </c>
      <c r="U42" s="273">
        <v>0</v>
      </c>
      <c r="V42" s="273">
        <v>0</v>
      </c>
      <c r="W42" s="268">
        <v>116500</v>
      </c>
      <c r="X42" s="268">
        <v>0</v>
      </c>
      <c r="Z42" s="274">
        <f t="shared" si="2"/>
        <v>116500</v>
      </c>
    </row>
    <row r="43" spans="1:26" x14ac:dyDescent="0.3">
      <c r="A43" s="114"/>
      <c r="B43" s="211" t="s">
        <v>73</v>
      </c>
      <c r="C43" s="92"/>
      <c r="D43" s="15"/>
      <c r="E43" s="15"/>
      <c r="F43" s="16"/>
      <c r="G43" s="16"/>
      <c r="H43" s="16"/>
      <c r="I43" s="16"/>
      <c r="J43" s="16"/>
      <c r="K43" s="16"/>
      <c r="L43" s="158">
        <f>L77*-1</f>
        <v>-94462.808491613134</v>
      </c>
      <c r="M43" s="20"/>
      <c r="N43" s="16"/>
      <c r="O43" s="21"/>
      <c r="P43" s="62"/>
      <c r="Q43" s="117"/>
      <c r="S43" s="262" t="s">
        <v>74</v>
      </c>
      <c r="T43" s="270">
        <v>133752.8542</v>
      </c>
      <c r="U43" s="271">
        <v>20752</v>
      </c>
      <c r="V43" s="264">
        <v>45752</v>
      </c>
      <c r="W43" s="272">
        <v>179505</v>
      </c>
      <c r="X43" s="272">
        <v>25000</v>
      </c>
      <c r="Z43" s="274">
        <f t="shared" si="2"/>
        <v>179505</v>
      </c>
    </row>
    <row r="44" spans="1:26" x14ac:dyDescent="0.3">
      <c r="A44" s="114"/>
      <c r="B44" s="211" t="s">
        <v>75</v>
      </c>
      <c r="C44" s="92"/>
      <c r="D44" s="15"/>
      <c r="E44" s="15"/>
      <c r="F44" s="16"/>
      <c r="G44" s="16"/>
      <c r="H44" s="16"/>
      <c r="I44" s="16"/>
      <c r="J44" s="16"/>
      <c r="K44" s="16"/>
      <c r="L44" s="158">
        <f>L98*-1</f>
        <v>-64999.850077845505</v>
      </c>
      <c r="M44" s="20"/>
      <c r="N44" s="16"/>
      <c r="O44" s="21"/>
      <c r="P44" s="62"/>
      <c r="Q44" s="117"/>
      <c r="S44" s="94"/>
      <c r="T44" s="263">
        <f>SUM(T35:T43)</f>
        <v>1855101.9999999998</v>
      </c>
      <c r="U44" s="264">
        <f>SUM(U35:U43)</f>
        <v>242661</v>
      </c>
      <c r="V44" s="264">
        <f>SUM(V35:V43)</f>
        <v>880567</v>
      </c>
      <c r="W44" s="269">
        <f>SUM(W35:W43)</f>
        <v>2641604</v>
      </c>
      <c r="X44" s="269">
        <f>SUM(X35:X43)</f>
        <v>543841</v>
      </c>
      <c r="Z44" s="97">
        <f>SUM(Z35:Z43)</f>
        <v>2641604</v>
      </c>
    </row>
    <row r="45" spans="1:26" x14ac:dyDescent="0.3">
      <c r="A45" s="114"/>
      <c r="B45" s="211" t="s">
        <v>76</v>
      </c>
      <c r="C45" s="92"/>
      <c r="D45" s="15"/>
      <c r="E45" s="15"/>
      <c r="F45" s="16"/>
      <c r="G45" s="16"/>
      <c r="H45" s="16"/>
      <c r="I45" s="16"/>
      <c r="J45" s="16"/>
      <c r="K45" s="16"/>
      <c r="L45" s="158">
        <f>(242661+543841)*-1</f>
        <v>-786502</v>
      </c>
      <c r="M45" s="20"/>
      <c r="N45" s="16"/>
      <c r="O45" s="21"/>
      <c r="P45" s="62"/>
      <c r="Q45" s="117"/>
      <c r="R45" s="98"/>
    </row>
    <row r="46" spans="1:26" x14ac:dyDescent="0.3">
      <c r="A46" s="114"/>
      <c r="B46" s="127" t="s">
        <v>77</v>
      </c>
      <c r="C46" s="92"/>
      <c r="D46" s="15"/>
      <c r="E46" s="15"/>
      <c r="F46" s="132"/>
      <c r="G46" s="7"/>
      <c r="H46" s="7"/>
      <c r="I46" s="132"/>
      <c r="J46" s="7"/>
      <c r="K46" s="7"/>
      <c r="L46" s="158">
        <f>4241400*-1</f>
        <v>-4241400</v>
      </c>
      <c r="M46" s="20"/>
      <c r="N46" s="16"/>
      <c r="O46" s="23"/>
      <c r="P46" s="60"/>
      <c r="Q46" s="117"/>
      <c r="S46" s="1349" t="s">
        <v>78</v>
      </c>
      <c r="T46" s="1349"/>
    </row>
    <row r="47" spans="1:26" x14ac:dyDescent="0.3">
      <c r="A47" s="114"/>
      <c r="B47" s="212" t="s">
        <v>79</v>
      </c>
      <c r="C47" s="12"/>
      <c r="D47" s="13"/>
      <c r="E47" s="13"/>
      <c r="F47" s="14"/>
      <c r="G47" s="14"/>
      <c r="H47" s="14"/>
      <c r="I47" s="14"/>
      <c r="J47" s="14"/>
      <c r="K47" s="14"/>
      <c r="L47" s="161">
        <f>SUM(L34:L46)</f>
        <v>-16193491.282393822</v>
      </c>
      <c r="M47" s="19">
        <f>SUM(M35:M38)</f>
        <v>-8833723</v>
      </c>
      <c r="N47" s="14">
        <f>SUM(N35:N38)</f>
        <v>-8833723</v>
      </c>
      <c r="O47" s="21"/>
      <c r="P47" s="62">
        <f>SUM(P35:P38)</f>
        <v>-9390005</v>
      </c>
      <c r="Q47" s="117"/>
      <c r="S47" t="s">
        <v>57</v>
      </c>
      <c r="T47" s="276">
        <f>-L35-L36</f>
        <v>6664398</v>
      </c>
      <c r="U47" s="278">
        <f>ROUND(T47/$T$55,2)</f>
        <v>0.41</v>
      </c>
    </row>
    <row r="48" spans="1:26" x14ac:dyDescent="0.3">
      <c r="A48" s="114"/>
      <c r="B48" s="127" t="s">
        <v>80</v>
      </c>
      <c r="C48" s="92"/>
      <c r="D48" s="15"/>
      <c r="E48" s="15"/>
      <c r="F48" s="16"/>
      <c r="G48" s="16"/>
      <c r="H48" s="16"/>
      <c r="I48" s="16"/>
      <c r="J48" s="16"/>
      <c r="K48" s="16"/>
      <c r="L48" s="217">
        <v>2970472</v>
      </c>
      <c r="M48" s="16"/>
      <c r="N48" s="16"/>
      <c r="O48" s="21"/>
      <c r="P48" s="62"/>
      <c r="Q48" s="117"/>
      <c r="S48" t="s">
        <v>81</v>
      </c>
      <c r="T48" s="276">
        <f>-L37</f>
        <v>1525568</v>
      </c>
      <c r="U48" s="278">
        <f>ROUNDUP(T48/$T$55,2)</f>
        <v>9.9999999999999992E-2</v>
      </c>
    </row>
    <row r="49" spans="1:22" x14ac:dyDescent="0.3">
      <c r="A49" s="114"/>
      <c r="B49" s="127" t="s">
        <v>82</v>
      </c>
      <c r="C49" s="92"/>
      <c r="D49" s="15"/>
      <c r="E49" s="15"/>
      <c r="F49" s="16"/>
      <c r="G49" s="16"/>
      <c r="H49" s="16"/>
      <c r="I49" s="16"/>
      <c r="J49" s="16"/>
      <c r="K49" s="16"/>
      <c r="L49" s="217">
        <f>379929</f>
        <v>379929</v>
      </c>
      <c r="M49" s="16"/>
      <c r="N49" s="16"/>
      <c r="O49" s="21"/>
      <c r="P49" s="62"/>
      <c r="Q49" s="117"/>
      <c r="S49" t="s">
        <v>63</v>
      </c>
      <c r="T49" s="276">
        <f>-L38</f>
        <v>1113000</v>
      </c>
      <c r="U49" s="278">
        <f t="shared" ref="U49:U54" si="3">ROUND(T49/$T$55,2)</f>
        <v>7.0000000000000007E-2</v>
      </c>
    </row>
    <row r="50" spans="1:22" x14ac:dyDescent="0.3">
      <c r="A50" s="114"/>
      <c r="B50" s="215" t="s">
        <v>83</v>
      </c>
      <c r="C50" s="77"/>
      <c r="D50" s="78"/>
      <c r="E50" s="78"/>
      <c r="F50" s="79"/>
      <c r="G50" s="79"/>
      <c r="H50" s="79"/>
      <c r="I50" s="79"/>
      <c r="J50" s="79"/>
      <c r="K50" s="79"/>
      <c r="L50" s="205">
        <f>SUM(L48:L49)</f>
        <v>3350401</v>
      </c>
      <c r="M50" s="16"/>
      <c r="N50" s="16"/>
      <c r="O50" s="21"/>
      <c r="P50" s="62"/>
      <c r="Q50" s="117"/>
      <c r="S50" t="s">
        <v>65</v>
      </c>
      <c r="T50" s="276">
        <f>-L39</f>
        <v>688851.2</v>
      </c>
      <c r="U50" s="278">
        <f t="shared" si="3"/>
        <v>0.04</v>
      </c>
    </row>
    <row r="51" spans="1:22" x14ac:dyDescent="0.3">
      <c r="A51" s="114"/>
      <c r="B51" s="127" t="s">
        <v>84</v>
      </c>
      <c r="C51" s="92"/>
      <c r="D51" s="15"/>
      <c r="E51" s="15"/>
      <c r="F51" s="16"/>
      <c r="G51" s="16"/>
      <c r="H51" s="16"/>
      <c r="I51" s="16"/>
      <c r="J51" s="16"/>
      <c r="K51" s="16"/>
      <c r="L51" s="217">
        <v>1940409</v>
      </c>
      <c r="M51" s="16"/>
      <c r="N51" s="16"/>
      <c r="O51" s="21"/>
      <c r="P51" s="62">
        <v>1673250</v>
      </c>
      <c r="Q51" s="117"/>
      <c r="S51" t="s">
        <v>85</v>
      </c>
      <c r="T51" s="276">
        <f>-L40-L41-L42-L43-L44</f>
        <v>1173772.0823938223</v>
      </c>
      <c r="U51" s="278">
        <f t="shared" si="3"/>
        <v>7.0000000000000007E-2</v>
      </c>
    </row>
    <row r="52" spans="1:22" x14ac:dyDescent="0.3">
      <c r="A52" s="144"/>
      <c r="B52" s="127" t="s">
        <v>86</v>
      </c>
      <c r="C52" s="92"/>
      <c r="D52" s="15"/>
      <c r="E52" s="15"/>
      <c r="F52" s="16"/>
      <c r="G52" s="16"/>
      <c r="H52" s="16"/>
      <c r="I52" s="16"/>
      <c r="J52" s="16"/>
      <c r="K52" s="16"/>
      <c r="L52" s="217">
        <f>362108+158000</f>
        <v>520108</v>
      </c>
      <c r="M52" s="16"/>
      <c r="N52" s="16"/>
      <c r="O52" s="21"/>
      <c r="P52" s="62">
        <v>519759</v>
      </c>
      <c r="Q52" s="117"/>
      <c r="S52" t="s">
        <v>87</v>
      </c>
      <c r="T52" s="276">
        <v>242661</v>
      </c>
      <c r="U52" s="278">
        <f>ROUNDUP(T52/$T$55,2)</f>
        <v>0.02</v>
      </c>
    </row>
    <row r="53" spans="1:22" x14ac:dyDescent="0.3">
      <c r="A53" s="114"/>
      <c r="B53" s="215" t="s">
        <v>88</v>
      </c>
      <c r="C53" s="77"/>
      <c r="D53" s="78"/>
      <c r="E53" s="78"/>
      <c r="F53" s="79"/>
      <c r="G53" s="79"/>
      <c r="H53" s="79"/>
      <c r="I53" s="79"/>
      <c r="J53" s="79"/>
      <c r="K53" s="79"/>
      <c r="L53" s="205">
        <f>SUM(L51:L52)</f>
        <v>2460517</v>
      </c>
      <c r="M53" s="16"/>
      <c r="N53" s="16"/>
      <c r="O53" s="21"/>
      <c r="P53" s="62"/>
      <c r="Q53" s="117"/>
      <c r="S53" t="s">
        <v>89</v>
      </c>
      <c r="T53" s="276">
        <v>543841</v>
      </c>
      <c r="U53" s="278">
        <f t="shared" si="3"/>
        <v>0.03</v>
      </c>
    </row>
    <row r="54" spans="1:22" x14ac:dyDescent="0.3">
      <c r="A54" s="114"/>
      <c r="B54" s="127" t="s">
        <v>90</v>
      </c>
      <c r="C54" s="92"/>
      <c r="D54" s="15"/>
      <c r="E54" s="15"/>
      <c r="F54" s="16"/>
      <c r="G54" s="16"/>
      <c r="H54" s="16"/>
      <c r="I54" s="16"/>
      <c r="J54" s="16"/>
      <c r="K54" s="16"/>
      <c r="L54" s="217">
        <v>1253517</v>
      </c>
      <c r="M54" s="16"/>
      <c r="N54" s="16"/>
      <c r="O54" s="21"/>
      <c r="P54" s="62"/>
      <c r="Q54" s="117"/>
      <c r="S54" t="s">
        <v>77</v>
      </c>
      <c r="T54" s="276">
        <f>-L46</f>
        <v>4241400</v>
      </c>
      <c r="U54" s="278">
        <f t="shared" si="3"/>
        <v>0.26</v>
      </c>
    </row>
    <row r="55" spans="1:22" x14ac:dyDescent="0.3">
      <c r="A55" s="114"/>
      <c r="B55" s="127" t="s">
        <v>91</v>
      </c>
      <c r="C55" s="8"/>
      <c r="D55" s="8"/>
      <c r="E55" s="9"/>
      <c r="F55" s="58"/>
      <c r="G55" s="58"/>
      <c r="H55" s="58"/>
      <c r="I55" s="58"/>
      <c r="J55" s="58"/>
      <c r="K55" s="58"/>
      <c r="L55" s="217">
        <v>625531</v>
      </c>
      <c r="M55" s="16"/>
      <c r="N55" s="16"/>
      <c r="O55" s="21"/>
      <c r="P55" s="62"/>
      <c r="Q55" s="117"/>
      <c r="S55" t="s">
        <v>92</v>
      </c>
      <c r="T55" s="277">
        <f>SUM(T47:T54)</f>
        <v>16193491.282393821</v>
      </c>
      <c r="V55" s="275"/>
    </row>
    <row r="56" spans="1:22" x14ac:dyDescent="0.3">
      <c r="A56" s="120"/>
      <c r="B56" s="216" t="s">
        <v>93</v>
      </c>
      <c r="C56" s="145"/>
      <c r="D56" s="145"/>
      <c r="E56" s="146"/>
      <c r="F56" s="147"/>
      <c r="G56" s="147"/>
      <c r="H56" s="147"/>
      <c r="I56" s="147"/>
      <c r="J56" s="147"/>
      <c r="K56" s="148"/>
      <c r="L56" s="218">
        <f>SUM(L54:L55)</f>
        <v>1879048</v>
      </c>
      <c r="M56" s="149"/>
      <c r="N56" s="149"/>
      <c r="O56" s="150"/>
      <c r="P56" s="151">
        <f>L56+L53+L50</f>
        <v>7689966</v>
      </c>
      <c r="Q56" s="124"/>
      <c r="R56" s="97">
        <f>P56-L33</f>
        <v>-7808331</v>
      </c>
    </row>
    <row r="57" spans="1:22" x14ac:dyDescent="0.3">
      <c r="B57" s="92"/>
      <c r="C57" s="8"/>
      <c r="D57" s="8"/>
      <c r="E57" s="9"/>
      <c r="F57" s="58"/>
      <c r="G57" s="58"/>
      <c r="H57" s="58"/>
      <c r="I57" s="58"/>
      <c r="J57" s="58"/>
      <c r="K57" s="80"/>
      <c r="L57" s="3"/>
      <c r="M57" s="16"/>
      <c r="N57" s="16"/>
      <c r="O57" s="21"/>
      <c r="P57" s="62"/>
    </row>
    <row r="58" spans="1:22" ht="21" x14ac:dyDescent="0.4">
      <c r="A58" s="107"/>
      <c r="B58" s="1350" t="s">
        <v>94</v>
      </c>
      <c r="C58" s="1350"/>
      <c r="D58" s="1350"/>
      <c r="E58" s="1350"/>
      <c r="F58" s="1350"/>
      <c r="G58" s="1350"/>
      <c r="H58" s="1350"/>
      <c r="I58" s="1350"/>
      <c r="J58" s="1350"/>
      <c r="K58" s="1350"/>
      <c r="L58" s="1350"/>
      <c r="M58" s="1350"/>
      <c r="N58" s="1350"/>
      <c r="O58" s="1351"/>
      <c r="P58" s="140"/>
      <c r="Q58" s="113"/>
    </row>
    <row r="59" spans="1:22" x14ac:dyDescent="0.3">
      <c r="A59" s="114"/>
      <c r="B59" s="95"/>
      <c r="C59" s="95"/>
      <c r="D59" s="95"/>
      <c r="E59" s="95"/>
      <c r="F59" s="95"/>
      <c r="G59" s="95"/>
      <c r="H59" s="95"/>
      <c r="I59" s="95"/>
      <c r="J59" s="95"/>
      <c r="K59" s="95"/>
      <c r="L59" s="95"/>
      <c r="M59" s="95"/>
      <c r="N59" s="95"/>
      <c r="O59" s="21"/>
      <c r="P59" s="60"/>
      <c r="Q59" s="117"/>
    </row>
    <row r="60" spans="1:22" x14ac:dyDescent="0.3">
      <c r="A60" s="114"/>
      <c r="B60" s="233"/>
      <c r="C60" s="129" t="s">
        <v>19</v>
      </c>
      <c r="D60" s="207" t="s">
        <v>20</v>
      </c>
      <c r="E60" s="208"/>
      <c r="F60" s="1347" t="s">
        <v>21</v>
      </c>
      <c r="G60" s="1348"/>
      <c r="H60" s="1348"/>
      <c r="I60" s="1347" t="s">
        <v>22</v>
      </c>
      <c r="J60" s="1348"/>
      <c r="K60" s="1348"/>
      <c r="L60" s="178" t="s">
        <v>23</v>
      </c>
      <c r="M60" s="3"/>
      <c r="N60" s="3"/>
      <c r="O60" s="21"/>
      <c r="P60" s="60"/>
      <c r="Q60" s="117"/>
    </row>
    <row r="61" spans="1:22" x14ac:dyDescent="0.3">
      <c r="A61" s="114"/>
      <c r="B61" s="127"/>
      <c r="C61" s="141" t="s">
        <v>26</v>
      </c>
      <c r="D61" s="4" t="s">
        <v>26</v>
      </c>
      <c r="E61" s="5"/>
      <c r="F61" s="130"/>
      <c r="G61" s="129" t="s">
        <v>27</v>
      </c>
      <c r="H61" s="129" t="s">
        <v>27</v>
      </c>
      <c r="I61" s="130"/>
      <c r="J61" s="129"/>
      <c r="K61" s="129"/>
      <c r="L61" s="179" t="s">
        <v>28</v>
      </c>
      <c r="M61" s="17"/>
      <c r="N61" s="3"/>
      <c r="O61" s="21"/>
      <c r="P61" s="60"/>
      <c r="Q61" s="117"/>
    </row>
    <row r="62" spans="1:22" x14ac:dyDescent="0.3">
      <c r="A62" s="114"/>
      <c r="B62" s="127" t="s">
        <v>30</v>
      </c>
      <c r="C62" s="58" t="s">
        <v>31</v>
      </c>
      <c r="D62" s="8"/>
      <c r="E62" s="9"/>
      <c r="F62" s="169" t="s">
        <v>29</v>
      </c>
      <c r="G62" s="170" t="s">
        <v>32</v>
      </c>
      <c r="H62" s="175" t="s">
        <v>33</v>
      </c>
      <c r="I62" s="169" t="s">
        <v>34</v>
      </c>
      <c r="J62" s="174" t="s">
        <v>35</v>
      </c>
      <c r="K62" s="174" t="s">
        <v>36</v>
      </c>
      <c r="L62" s="238" t="s">
        <v>29</v>
      </c>
      <c r="M62" s="142" t="s">
        <v>32</v>
      </c>
      <c r="N62" s="143" t="s">
        <v>33</v>
      </c>
      <c r="O62" s="22" t="s">
        <v>37</v>
      </c>
      <c r="P62" s="60"/>
      <c r="Q62" s="117"/>
    </row>
    <row r="63" spans="1:22" x14ac:dyDescent="0.3">
      <c r="A63" s="114"/>
      <c r="B63" s="211" t="s">
        <v>38</v>
      </c>
      <c r="C63" s="94">
        <v>8</v>
      </c>
      <c r="D63" s="6">
        <v>3</v>
      </c>
      <c r="E63" s="6"/>
      <c r="F63" s="164">
        <f>(C63*D63*260)</f>
        <v>6240</v>
      </c>
      <c r="G63" s="153">
        <f>F63*1.1</f>
        <v>6864.0000000000009</v>
      </c>
      <c r="H63" s="165">
        <f>F63*1.2</f>
        <v>7488</v>
      </c>
      <c r="I63" s="154">
        <f>F63*5</f>
        <v>31200</v>
      </c>
      <c r="J63" s="153">
        <f>F63*5.5</f>
        <v>34320</v>
      </c>
      <c r="K63" s="153">
        <f>F63*6</f>
        <v>37440</v>
      </c>
      <c r="L63" s="189">
        <f>F63*65</f>
        <v>405600</v>
      </c>
      <c r="M63" s="18">
        <f>G63*65</f>
        <v>446160.00000000006</v>
      </c>
      <c r="N63" s="10">
        <f>H63*65</f>
        <v>486720</v>
      </c>
      <c r="O63" s="21"/>
      <c r="P63" s="60"/>
      <c r="Q63" s="117"/>
    </row>
    <row r="64" spans="1:22" x14ac:dyDescent="0.3">
      <c r="A64" s="114"/>
      <c r="B64" s="127" t="s">
        <v>39</v>
      </c>
      <c r="C64" s="58" t="s">
        <v>31</v>
      </c>
      <c r="D64" s="6"/>
      <c r="E64" s="6"/>
      <c r="F64" s="164"/>
      <c r="G64" s="153"/>
      <c r="H64" s="165"/>
      <c r="I64" s="154"/>
      <c r="J64" s="153"/>
      <c r="K64" s="153"/>
      <c r="L64" s="189"/>
      <c r="M64" s="18"/>
      <c r="N64" s="10"/>
      <c r="O64" s="21"/>
      <c r="P64" s="60"/>
      <c r="Q64" s="117"/>
    </row>
    <row r="65" spans="1:17" x14ac:dyDescent="0.3">
      <c r="A65" s="114"/>
      <c r="B65" s="211" t="s">
        <v>40</v>
      </c>
      <c r="C65" s="94">
        <v>6</v>
      </c>
      <c r="D65" s="6">
        <v>2</v>
      </c>
      <c r="E65" s="6"/>
      <c r="F65" s="164">
        <f>(C65*D65*260)</f>
        <v>3120</v>
      </c>
      <c r="G65" s="153">
        <f>F65*1.1</f>
        <v>3432.0000000000005</v>
      </c>
      <c r="H65" s="165">
        <f>F65*1.2</f>
        <v>3744</v>
      </c>
      <c r="I65" s="154">
        <f>F65*3</f>
        <v>9360</v>
      </c>
      <c r="J65" s="153">
        <f>F65*4</f>
        <v>12480</v>
      </c>
      <c r="K65" s="153">
        <f>F65*5</f>
        <v>15600</v>
      </c>
      <c r="L65" s="189">
        <f>F65*65</f>
        <v>202800</v>
      </c>
      <c r="M65" s="18">
        <f>G65*65</f>
        <v>223080.00000000003</v>
      </c>
      <c r="N65" s="10">
        <f>H65*65</f>
        <v>243360</v>
      </c>
      <c r="O65" s="21"/>
      <c r="P65" s="60"/>
      <c r="Q65" s="117"/>
    </row>
    <row r="66" spans="1:17" x14ac:dyDescent="0.3">
      <c r="A66" s="114"/>
      <c r="B66" s="127" t="s">
        <v>41</v>
      </c>
      <c r="C66" s="92" t="s">
        <v>42</v>
      </c>
      <c r="D66" s="6"/>
      <c r="E66" s="6"/>
      <c r="F66" s="164"/>
      <c r="G66" s="153"/>
      <c r="H66" s="165"/>
      <c r="I66" s="154"/>
      <c r="J66" s="153"/>
      <c r="K66" s="153"/>
      <c r="L66" s="189"/>
      <c r="M66" s="18"/>
      <c r="N66" s="10"/>
      <c r="O66" s="21"/>
      <c r="P66" s="60"/>
      <c r="Q66" s="117"/>
    </row>
    <row r="67" spans="1:17" x14ac:dyDescent="0.3">
      <c r="A67" s="114"/>
      <c r="B67" s="127" t="s">
        <v>43</v>
      </c>
      <c r="C67" s="92"/>
      <c r="D67" s="6"/>
      <c r="E67" s="6"/>
      <c r="F67" s="164"/>
      <c r="G67" s="153"/>
      <c r="H67" s="165"/>
      <c r="I67" s="154"/>
      <c r="J67" s="153">
        <f>L67/10</f>
        <v>3000</v>
      </c>
      <c r="K67" s="153"/>
      <c r="L67" s="189">
        <v>30000</v>
      </c>
      <c r="M67" s="18"/>
      <c r="N67" s="10"/>
      <c r="O67" s="21"/>
      <c r="P67" s="60"/>
      <c r="Q67" s="117"/>
    </row>
    <row r="68" spans="1:17" x14ac:dyDescent="0.3">
      <c r="A68" s="114"/>
      <c r="B68" s="211" t="s">
        <v>95</v>
      </c>
      <c r="C68" s="94">
        <v>8</v>
      </c>
      <c r="D68" s="45">
        <v>0.5</v>
      </c>
      <c r="E68" s="6"/>
      <c r="F68" s="164">
        <f>(C68*D68*60)</f>
        <v>240</v>
      </c>
      <c r="G68" s="153">
        <f>F68*1.1</f>
        <v>264</v>
      </c>
      <c r="H68" s="165">
        <f>F68*1.2</f>
        <v>288</v>
      </c>
      <c r="I68" s="154">
        <f>F68*1.5</f>
        <v>360</v>
      </c>
      <c r="J68" s="154">
        <f>G68*1.5</f>
        <v>396</v>
      </c>
      <c r="K68" s="154">
        <f>H68*1.5</f>
        <v>432</v>
      </c>
      <c r="L68" s="189">
        <f>F68*65</f>
        <v>15600</v>
      </c>
      <c r="M68" s="18">
        <f>G68*65</f>
        <v>17160</v>
      </c>
      <c r="N68" s="10">
        <f>H68*65</f>
        <v>18720</v>
      </c>
      <c r="O68" s="28"/>
      <c r="P68" s="60"/>
      <c r="Q68" s="117"/>
    </row>
    <row r="69" spans="1:17" x14ac:dyDescent="0.3">
      <c r="A69" s="114"/>
      <c r="B69" s="211" t="s">
        <v>96</v>
      </c>
      <c r="C69" s="94"/>
      <c r="D69" s="45"/>
      <c r="E69" s="6"/>
      <c r="F69" s="164"/>
      <c r="G69" s="153"/>
      <c r="H69" s="165"/>
      <c r="I69" s="154">
        <f>I30*$H$12</f>
        <v>3343.0074909437617</v>
      </c>
      <c r="J69" s="154">
        <f>J30*$H$12</f>
        <v>4680.2104873212666</v>
      </c>
      <c r="K69" s="154">
        <f>K30*$H$12</f>
        <v>5348.8119855100185</v>
      </c>
      <c r="L69" s="189">
        <f>I12</f>
        <v>97108.603805897408</v>
      </c>
      <c r="M69" s="18">
        <f>L69*1.1</f>
        <v>106819.46418648715</v>
      </c>
      <c r="N69" s="10">
        <f>L69*1.2</f>
        <v>116530.32456707688</v>
      </c>
      <c r="O69" s="28"/>
      <c r="P69" s="60"/>
      <c r="Q69" s="117"/>
    </row>
    <row r="70" spans="1:17" x14ac:dyDescent="0.3">
      <c r="A70" s="114"/>
      <c r="B70" s="230" t="s">
        <v>92</v>
      </c>
      <c r="C70" s="32"/>
      <c r="D70" s="33"/>
      <c r="E70" s="33"/>
      <c r="F70" s="186">
        <f>SUM(F63:F68)</f>
        <v>9600</v>
      </c>
      <c r="G70" s="187">
        <f>SUM(G63:G68)</f>
        <v>10560.000000000002</v>
      </c>
      <c r="H70" s="188">
        <f>SUM(H63:H68)</f>
        <v>11520</v>
      </c>
      <c r="I70" s="187">
        <f t="shared" ref="I70:N70" si="4">SUM(I63:I69)</f>
        <v>44263.007490943761</v>
      </c>
      <c r="J70" s="187">
        <f t="shared" si="4"/>
        <v>54876.210487321267</v>
      </c>
      <c r="K70" s="187">
        <f t="shared" si="4"/>
        <v>58820.811985510016</v>
      </c>
      <c r="L70" s="190">
        <f t="shared" si="4"/>
        <v>751108.60380589741</v>
      </c>
      <c r="M70" s="34">
        <f t="shared" si="4"/>
        <v>793219.46418648725</v>
      </c>
      <c r="N70" s="35">
        <f t="shared" si="4"/>
        <v>865330.32456707687</v>
      </c>
      <c r="O70" s="36">
        <f>N70-L70</f>
        <v>114221.72076117946</v>
      </c>
      <c r="P70" s="60"/>
      <c r="Q70" s="117"/>
    </row>
    <row r="71" spans="1:17" x14ac:dyDescent="0.3">
      <c r="A71" s="114"/>
      <c r="B71" s="125" t="s">
        <v>56</v>
      </c>
      <c r="C71" s="25"/>
      <c r="D71" s="26"/>
      <c r="E71" s="26"/>
      <c r="F71" s="27"/>
      <c r="G71" s="27"/>
      <c r="H71" s="27"/>
      <c r="I71" s="27"/>
      <c r="J71" s="27"/>
      <c r="K71" s="27"/>
      <c r="L71" s="219">
        <f>J70*C16</f>
        <v>54876.210487321267</v>
      </c>
      <c r="M71" s="39"/>
      <c r="N71" s="39"/>
      <c r="O71" s="36"/>
      <c r="P71" s="65">
        <f>L71+L74+L75</f>
        <v>198804.49531699053</v>
      </c>
      <c r="Q71" s="117"/>
    </row>
    <row r="72" spans="1:17" x14ac:dyDescent="0.3">
      <c r="A72" s="114"/>
      <c r="B72" s="231" t="str">
        <f>B36</f>
        <v>Federal Grant Carbon Reduction Grant</v>
      </c>
      <c r="C72" s="74" t="s">
        <v>97</v>
      </c>
      <c r="D72" s="75"/>
      <c r="E72" s="75"/>
      <c r="F72" s="76"/>
      <c r="G72" s="76"/>
      <c r="H72" s="76"/>
      <c r="I72" s="76"/>
      <c r="J72" s="76"/>
      <c r="K72" s="76"/>
      <c r="L72" s="220">
        <f>(L36*K12)*-1</f>
        <v>40689.000406890002</v>
      </c>
      <c r="M72" s="39"/>
      <c r="N72" s="39"/>
      <c r="O72" s="36"/>
      <c r="P72" s="60"/>
      <c r="Q72" s="117"/>
    </row>
    <row r="73" spans="1:17" x14ac:dyDescent="0.3">
      <c r="A73" s="114"/>
      <c r="B73" s="125" t="s">
        <v>98</v>
      </c>
      <c r="C73" s="25"/>
      <c r="D73" s="26"/>
      <c r="E73" s="26"/>
      <c r="F73" s="27"/>
      <c r="G73" s="27"/>
      <c r="H73" s="27"/>
      <c r="I73" s="27"/>
      <c r="J73" s="27"/>
      <c r="K73" s="27"/>
      <c r="L73" s="221">
        <f>L48*L12</f>
        <v>417152.29959040374</v>
      </c>
      <c r="M73" s="39"/>
      <c r="N73" s="39"/>
      <c r="O73" s="36"/>
      <c r="P73" s="65">
        <f>L73+L72</f>
        <v>457841.29999729374</v>
      </c>
      <c r="Q73" s="117"/>
    </row>
    <row r="74" spans="1:17" x14ac:dyDescent="0.3">
      <c r="A74" s="114"/>
      <c r="B74" s="125" t="s">
        <v>61</v>
      </c>
      <c r="C74" s="25"/>
      <c r="D74" s="26"/>
      <c r="E74" s="26"/>
      <c r="F74" s="27"/>
      <c r="G74" s="27"/>
      <c r="H74" s="27"/>
      <c r="I74" s="27"/>
      <c r="J74" s="27"/>
      <c r="K74" s="27"/>
      <c r="L74" s="221">
        <f>L49*L12</f>
        <v>53354.569923932118</v>
      </c>
      <c r="M74" s="39"/>
      <c r="N74" s="39"/>
      <c r="O74" s="36"/>
      <c r="P74" s="65">
        <f>P73/2</f>
        <v>228920.64999864687</v>
      </c>
      <c r="Q74" s="117"/>
    </row>
    <row r="75" spans="1:17" x14ac:dyDescent="0.3">
      <c r="A75" s="114"/>
      <c r="B75" s="125" t="s">
        <v>51</v>
      </c>
      <c r="C75" s="25"/>
      <c r="D75" s="26"/>
      <c r="E75" s="26"/>
      <c r="F75" s="27"/>
      <c r="G75" s="27"/>
      <c r="H75" s="27"/>
      <c r="I75" s="27"/>
      <c r="J75" s="27"/>
      <c r="K75" s="27"/>
      <c r="L75" s="221">
        <f>(L38*K12)*-1</f>
        <v>90573.714905737143</v>
      </c>
      <c r="M75" s="39"/>
      <c r="N75" s="39"/>
      <c r="O75" s="36"/>
      <c r="P75" s="72">
        <f>P74-P71</f>
        <v>30116.154681656335</v>
      </c>
      <c r="Q75" s="117"/>
    </row>
    <row r="76" spans="1:17" x14ac:dyDescent="0.3">
      <c r="A76" s="114"/>
      <c r="B76" s="232" t="s">
        <v>99</v>
      </c>
      <c r="C76" s="37"/>
      <c r="D76" s="38"/>
      <c r="E76" s="38"/>
      <c r="F76" s="39"/>
      <c r="G76" s="39"/>
      <c r="H76" s="39"/>
      <c r="I76" s="39"/>
      <c r="J76" s="39"/>
      <c r="K76" s="39"/>
      <c r="L76" s="222">
        <f>SUM(L71:L75)</f>
        <v>656645.79531428427</v>
      </c>
      <c r="M76" s="39"/>
      <c r="N76" s="39"/>
      <c r="O76" s="36"/>
      <c r="P76" s="60"/>
      <c r="Q76" s="117"/>
    </row>
    <row r="77" spans="1:17" x14ac:dyDescent="0.3">
      <c r="A77" s="114"/>
      <c r="B77" s="212" t="s">
        <v>100</v>
      </c>
      <c r="C77" s="12"/>
      <c r="D77" s="13"/>
      <c r="E77" s="13"/>
      <c r="F77" s="14"/>
      <c r="G77" s="14"/>
      <c r="H77" s="14"/>
      <c r="I77" s="14"/>
      <c r="J77" s="14"/>
      <c r="K77" s="14"/>
      <c r="L77" s="223">
        <f>L70-L76</f>
        <v>94462.808491613134</v>
      </c>
      <c r="M77" s="39"/>
      <c r="N77" s="39"/>
      <c r="O77" s="36"/>
      <c r="P77" s="72">
        <f>P75</f>
        <v>30116.154681656335</v>
      </c>
      <c r="Q77" s="117"/>
    </row>
    <row r="78" spans="1:17" x14ac:dyDescent="0.3">
      <c r="A78" s="114"/>
      <c r="B78" s="92"/>
      <c r="C78" s="92"/>
      <c r="D78" s="15"/>
      <c r="E78" s="15"/>
      <c r="F78" s="16"/>
      <c r="G78" s="16"/>
      <c r="H78" s="16"/>
      <c r="I78" s="16"/>
      <c r="J78" s="16"/>
      <c r="K78" s="16"/>
      <c r="L78" s="16"/>
      <c r="M78" s="16"/>
      <c r="N78" s="16"/>
      <c r="O78" s="23"/>
      <c r="P78" s="60"/>
      <c r="Q78" s="117"/>
    </row>
    <row r="79" spans="1:17" ht="21" x14ac:dyDescent="0.4">
      <c r="A79" s="107"/>
      <c r="B79" s="1357" t="s">
        <v>101</v>
      </c>
      <c r="C79" s="1357"/>
      <c r="D79" s="1357"/>
      <c r="E79" s="1357"/>
      <c r="F79" s="1357"/>
      <c r="G79" s="1357"/>
      <c r="H79" s="1357"/>
      <c r="I79" s="1357"/>
      <c r="J79" s="1357"/>
      <c r="K79" s="1357"/>
      <c r="L79" s="1357"/>
      <c r="M79" s="1357"/>
      <c r="N79" s="1357"/>
      <c r="O79" s="1357"/>
      <c r="P79" s="152"/>
      <c r="Q79" s="113"/>
    </row>
    <row r="80" spans="1:17" x14ac:dyDescent="0.3">
      <c r="A80" s="114"/>
      <c r="B80" s="96"/>
      <c r="C80" s="96"/>
      <c r="D80" s="96"/>
      <c r="E80" s="96"/>
      <c r="F80" s="96"/>
      <c r="G80" s="96"/>
      <c r="H80" s="96"/>
      <c r="I80" s="96"/>
      <c r="J80" s="96"/>
      <c r="K80" s="96"/>
      <c r="L80" s="96"/>
      <c r="M80" s="96"/>
      <c r="N80" s="96"/>
      <c r="O80" s="28"/>
      <c r="P80" s="60"/>
      <c r="Q80" s="117"/>
    </row>
    <row r="81" spans="1:17" x14ac:dyDescent="0.3">
      <c r="A81" s="114"/>
      <c r="B81" s="233"/>
      <c r="C81" s="129" t="s">
        <v>19</v>
      </c>
      <c r="D81" s="207" t="s">
        <v>20</v>
      </c>
      <c r="E81" s="208"/>
      <c r="F81" s="1347" t="s">
        <v>21</v>
      </c>
      <c r="G81" s="1348"/>
      <c r="H81" s="1348"/>
      <c r="I81" s="1347" t="s">
        <v>22</v>
      </c>
      <c r="J81" s="1348"/>
      <c r="K81" s="1348"/>
      <c r="L81" s="178" t="s">
        <v>23</v>
      </c>
      <c r="M81" s="11"/>
      <c r="N81" s="11"/>
      <c r="O81" s="21"/>
      <c r="P81" s="60"/>
      <c r="Q81" s="117"/>
    </row>
    <row r="82" spans="1:17" x14ac:dyDescent="0.3">
      <c r="A82" s="114"/>
      <c r="B82" s="127"/>
      <c r="C82" s="141" t="s">
        <v>26</v>
      </c>
      <c r="D82" s="4" t="s">
        <v>26</v>
      </c>
      <c r="E82" s="5"/>
      <c r="F82" s="130"/>
      <c r="G82" s="129" t="s">
        <v>27</v>
      </c>
      <c r="H82" s="129" t="s">
        <v>27</v>
      </c>
      <c r="I82" s="130"/>
      <c r="J82" s="129"/>
      <c r="K82" s="129"/>
      <c r="L82" s="179" t="s">
        <v>28</v>
      </c>
      <c r="M82" s="17"/>
      <c r="N82" s="3"/>
      <c r="O82" s="21"/>
      <c r="P82" s="60"/>
      <c r="Q82" s="117"/>
    </row>
    <row r="83" spans="1:17" x14ac:dyDescent="0.3">
      <c r="A83" s="114"/>
      <c r="B83" s="127" t="s">
        <v>30</v>
      </c>
      <c r="C83" s="58" t="s">
        <v>31</v>
      </c>
      <c r="D83" s="8"/>
      <c r="E83" s="9"/>
      <c r="F83" s="131" t="s">
        <v>29</v>
      </c>
      <c r="G83" s="142" t="s">
        <v>32</v>
      </c>
      <c r="H83" s="143" t="s">
        <v>33</v>
      </c>
      <c r="I83" s="169" t="s">
        <v>34</v>
      </c>
      <c r="J83" s="174" t="s">
        <v>35</v>
      </c>
      <c r="K83" s="174" t="s">
        <v>36</v>
      </c>
      <c r="L83" s="238" t="s">
        <v>29</v>
      </c>
      <c r="M83" s="142" t="s">
        <v>32</v>
      </c>
      <c r="N83" s="143" t="s">
        <v>33</v>
      </c>
      <c r="O83" s="22" t="s">
        <v>37</v>
      </c>
      <c r="P83" s="60"/>
      <c r="Q83" s="117"/>
    </row>
    <row r="84" spans="1:17" x14ac:dyDescent="0.3">
      <c r="A84" s="114"/>
      <c r="B84" s="211" t="s">
        <v>38</v>
      </c>
      <c r="C84" s="94">
        <v>8</v>
      </c>
      <c r="D84" s="6">
        <v>3</v>
      </c>
      <c r="E84" s="6"/>
      <c r="F84" s="191">
        <f>(C84*D84*260)</f>
        <v>6240</v>
      </c>
      <c r="G84" s="192">
        <f>F84*1.1</f>
        <v>6864.0000000000009</v>
      </c>
      <c r="H84" s="193">
        <f>F84*1.2</f>
        <v>7488</v>
      </c>
      <c r="I84" s="154">
        <f>F84*5</f>
        <v>31200</v>
      </c>
      <c r="J84" s="153">
        <f>F84*5.5</f>
        <v>34320</v>
      </c>
      <c r="K84" s="153">
        <f>F84*6</f>
        <v>37440</v>
      </c>
      <c r="L84" s="197">
        <f>F84*65</f>
        <v>405600</v>
      </c>
      <c r="M84" s="18">
        <f>G84*65</f>
        <v>446160.00000000006</v>
      </c>
      <c r="N84" s="10">
        <f>H84*65</f>
        <v>486720</v>
      </c>
      <c r="O84" s="28"/>
      <c r="P84" s="60"/>
      <c r="Q84" s="117"/>
    </row>
    <row r="85" spans="1:17" x14ac:dyDescent="0.3">
      <c r="A85" s="114"/>
      <c r="B85" s="127" t="s">
        <v>39</v>
      </c>
      <c r="C85" s="58" t="s">
        <v>31</v>
      </c>
      <c r="D85" s="6"/>
      <c r="E85" s="6"/>
      <c r="F85" s="164"/>
      <c r="G85" s="153"/>
      <c r="H85" s="165"/>
      <c r="I85" s="154"/>
      <c r="J85" s="153"/>
      <c r="K85" s="153"/>
      <c r="L85" s="197"/>
      <c r="M85" s="18"/>
      <c r="N85" s="10"/>
      <c r="O85" s="28"/>
      <c r="P85" s="60"/>
      <c r="Q85" s="117"/>
    </row>
    <row r="86" spans="1:17" x14ac:dyDescent="0.3">
      <c r="A86" s="114"/>
      <c r="B86" s="211" t="s">
        <v>40</v>
      </c>
      <c r="C86" s="94">
        <v>6</v>
      </c>
      <c r="D86" s="6">
        <v>2</v>
      </c>
      <c r="E86" s="6"/>
      <c r="F86" s="164">
        <f>(C86*D86*260)</f>
        <v>3120</v>
      </c>
      <c r="G86" s="153">
        <f>F86*1.2</f>
        <v>3744</v>
      </c>
      <c r="H86" s="165">
        <f>F86*1.3</f>
        <v>4056</v>
      </c>
      <c r="I86" s="154">
        <f>F86*3</f>
        <v>9360</v>
      </c>
      <c r="J86" s="153">
        <f>F86*4</f>
        <v>12480</v>
      </c>
      <c r="K86" s="153">
        <f>F86*5</f>
        <v>15600</v>
      </c>
      <c r="L86" s="197">
        <f>F86*65</f>
        <v>202800</v>
      </c>
      <c r="M86" s="18">
        <f>G86*65</f>
        <v>243360</v>
      </c>
      <c r="N86" s="10">
        <f>H86*65</f>
        <v>263640</v>
      </c>
      <c r="O86" s="28"/>
      <c r="P86" s="60"/>
      <c r="Q86" s="117"/>
    </row>
    <row r="87" spans="1:17" x14ac:dyDescent="0.3">
      <c r="A87" s="114"/>
      <c r="B87" s="127" t="s">
        <v>41</v>
      </c>
      <c r="C87" s="92" t="s">
        <v>42</v>
      </c>
      <c r="D87" s="6"/>
      <c r="E87" s="6"/>
      <c r="F87" s="164"/>
      <c r="G87" s="153"/>
      <c r="H87" s="165"/>
      <c r="I87" s="154"/>
      <c r="J87" s="153"/>
      <c r="K87" s="153"/>
      <c r="L87" s="197"/>
      <c r="M87" s="18"/>
      <c r="N87" s="10"/>
      <c r="O87" s="28"/>
      <c r="P87" s="60"/>
      <c r="Q87" s="117"/>
    </row>
    <row r="88" spans="1:17" x14ac:dyDescent="0.3">
      <c r="A88" s="114"/>
      <c r="B88" s="127" t="s">
        <v>43</v>
      </c>
      <c r="C88" s="92"/>
      <c r="D88" s="6"/>
      <c r="E88" s="6"/>
      <c r="F88" s="164"/>
      <c r="G88" s="153"/>
      <c r="H88" s="165"/>
      <c r="I88" s="154"/>
      <c r="J88" s="153">
        <f>L88/10</f>
        <v>1045.3</v>
      </c>
      <c r="K88" s="153"/>
      <c r="L88" s="197">
        <v>10453</v>
      </c>
      <c r="M88" s="18"/>
      <c r="N88" s="10"/>
      <c r="O88" s="28"/>
      <c r="P88" s="60"/>
      <c r="Q88" s="117"/>
    </row>
    <row r="89" spans="1:17" x14ac:dyDescent="0.3">
      <c r="A89" s="114"/>
      <c r="B89" s="211" t="s">
        <v>95</v>
      </c>
      <c r="C89" s="94">
        <v>8</v>
      </c>
      <c r="D89" s="45">
        <v>0.5</v>
      </c>
      <c r="E89" s="6"/>
      <c r="F89" s="164">
        <f>(C89*D89*52)</f>
        <v>208</v>
      </c>
      <c r="G89" s="153">
        <f>F89*1.1</f>
        <v>228.8</v>
      </c>
      <c r="H89" s="165">
        <f>F89*1.2</f>
        <v>249.6</v>
      </c>
      <c r="I89" s="154">
        <f>F89*1.5</f>
        <v>312</v>
      </c>
      <c r="J89" s="154">
        <f>G89*1.5</f>
        <v>343.20000000000005</v>
      </c>
      <c r="K89" s="154">
        <f>H89*1.5</f>
        <v>374.4</v>
      </c>
      <c r="L89" s="197">
        <f>F89*65</f>
        <v>13520</v>
      </c>
      <c r="M89" s="18">
        <f>G89*65</f>
        <v>14872</v>
      </c>
      <c r="N89" s="10">
        <f>H89*65</f>
        <v>16224</v>
      </c>
      <c r="O89" s="28"/>
      <c r="P89" s="60"/>
      <c r="Q89" s="117"/>
    </row>
    <row r="90" spans="1:17" x14ac:dyDescent="0.3">
      <c r="A90" s="114"/>
      <c r="B90" s="211" t="s">
        <v>96</v>
      </c>
      <c r="C90" s="94"/>
      <c r="D90" s="45"/>
      <c r="E90" s="6"/>
      <c r="F90" s="166"/>
      <c r="G90" s="167"/>
      <c r="H90" s="168"/>
      <c r="I90" s="154">
        <f>I30*$H$13</f>
        <v>2914.4325921337499</v>
      </c>
      <c r="J90" s="154">
        <f>J30*$H$13</f>
        <v>4080.2056289872498</v>
      </c>
      <c r="K90" s="154">
        <f>K30*$H$13</f>
        <v>4663.0921474139996</v>
      </c>
      <c r="L90" s="198">
        <f>I13</f>
        <v>84659.241917705891</v>
      </c>
      <c r="M90" s="18">
        <f>L90*1.1</f>
        <v>93125.166109476486</v>
      </c>
      <c r="N90" s="10">
        <f>L90*1.2</f>
        <v>101591.09030124707</v>
      </c>
      <c r="O90" s="28"/>
      <c r="P90" s="60"/>
      <c r="Q90" s="117"/>
    </row>
    <row r="91" spans="1:17" x14ac:dyDescent="0.3">
      <c r="A91" s="114"/>
      <c r="B91" s="230" t="s">
        <v>92</v>
      </c>
      <c r="C91" s="32"/>
      <c r="D91" s="33"/>
      <c r="E91" s="33"/>
      <c r="F91" s="194">
        <f>SUM(F84:F89)</f>
        <v>9568</v>
      </c>
      <c r="G91" s="195">
        <f>SUM(G84:G89)</f>
        <v>10836.8</v>
      </c>
      <c r="H91" s="196">
        <f>SUM(H84:H89)</f>
        <v>11793.6</v>
      </c>
      <c r="I91" s="187">
        <f t="shared" ref="I91:N91" si="5">SUM(I84:I90)</f>
        <v>43786.432592133751</v>
      </c>
      <c r="J91" s="187">
        <f t="shared" si="5"/>
        <v>52268.705628987249</v>
      </c>
      <c r="K91" s="187">
        <f t="shared" si="5"/>
        <v>58077.492147413999</v>
      </c>
      <c r="L91" s="224">
        <f t="shared" si="5"/>
        <v>717032.24191770586</v>
      </c>
      <c r="M91" s="34">
        <f t="shared" si="5"/>
        <v>797517.16610947647</v>
      </c>
      <c r="N91" s="35">
        <f t="shared" si="5"/>
        <v>868175.09030124708</v>
      </c>
      <c r="O91" s="36">
        <f>N91-L91</f>
        <v>151142.84838354122</v>
      </c>
      <c r="P91" s="60"/>
      <c r="Q91" s="117"/>
    </row>
    <row r="92" spans="1:17" x14ac:dyDescent="0.3">
      <c r="A92" s="114"/>
      <c r="B92" s="125" t="s">
        <v>56</v>
      </c>
      <c r="C92" s="25"/>
      <c r="D92" s="26"/>
      <c r="E92" s="26"/>
      <c r="F92" s="27"/>
      <c r="G92" s="27"/>
      <c r="H92" s="27"/>
      <c r="I92" s="27"/>
      <c r="J92" s="27"/>
      <c r="K92" s="27"/>
      <c r="L92" s="221">
        <f>J91*C16</f>
        <v>52268.705628987249</v>
      </c>
      <c r="M92" s="39"/>
      <c r="N92" s="39"/>
      <c r="O92" s="36"/>
      <c r="P92" s="65">
        <f>L92+L95+L96</f>
        <v>195717.2295092243</v>
      </c>
      <c r="Q92" s="117"/>
    </row>
    <row r="93" spans="1:17" x14ac:dyDescent="0.3">
      <c r="A93" s="114"/>
      <c r="B93" s="231" t="str">
        <f>B36</f>
        <v>Federal Grant Carbon Reduction Grant</v>
      </c>
      <c r="C93" s="74" t="s">
        <v>97</v>
      </c>
      <c r="D93" s="75"/>
      <c r="E93" s="75"/>
      <c r="F93" s="76"/>
      <c r="G93" s="76"/>
      <c r="H93" s="76"/>
      <c r="I93" s="76"/>
      <c r="J93" s="76"/>
      <c r="K93" s="76"/>
      <c r="L93" s="220">
        <f>(L36*K13)*-1</f>
        <v>40553.3704055337</v>
      </c>
      <c r="M93" s="39"/>
      <c r="N93" s="39"/>
      <c r="O93" s="36"/>
      <c r="P93" s="60"/>
      <c r="Q93" s="117"/>
    </row>
    <row r="94" spans="1:17" x14ac:dyDescent="0.3">
      <c r="A94" s="114"/>
      <c r="B94" s="125" t="s">
        <v>98</v>
      </c>
      <c r="C94" s="25"/>
      <c r="D94" s="26"/>
      <c r="E94" s="26"/>
      <c r="F94" s="27"/>
      <c r="G94" s="27"/>
      <c r="H94" s="27"/>
      <c r="I94" s="27"/>
      <c r="J94" s="27"/>
      <c r="K94" s="27"/>
      <c r="L94" s="221">
        <f>L48*L13</f>
        <v>415761.79192510241</v>
      </c>
      <c r="M94" s="39"/>
      <c r="N94" s="39"/>
      <c r="O94" s="36"/>
      <c r="P94" s="64">
        <f>L94+L93</f>
        <v>456315.16233063611</v>
      </c>
      <c r="Q94" s="117"/>
    </row>
    <row r="95" spans="1:17" x14ac:dyDescent="0.3">
      <c r="A95" s="114"/>
      <c r="B95" s="125" t="s">
        <v>61</v>
      </c>
      <c r="C95" s="25"/>
      <c r="D95" s="26"/>
      <c r="E95" s="26"/>
      <c r="F95" s="27"/>
      <c r="G95" s="27"/>
      <c r="H95" s="27"/>
      <c r="I95" s="27"/>
      <c r="J95" s="27"/>
      <c r="K95" s="27"/>
      <c r="L95" s="221">
        <f>L49*L13</f>
        <v>53176.721357519018</v>
      </c>
      <c r="M95" s="39"/>
      <c r="N95" s="39"/>
      <c r="O95" s="36"/>
      <c r="P95" s="64">
        <f>P94/2</f>
        <v>228157.58116531806</v>
      </c>
      <c r="Q95" s="117"/>
    </row>
    <row r="96" spans="1:17" x14ac:dyDescent="0.3">
      <c r="A96" s="114"/>
      <c r="B96" s="125" t="s">
        <v>51</v>
      </c>
      <c r="C96" s="25"/>
      <c r="D96" s="26"/>
      <c r="E96" s="26"/>
      <c r="F96" s="27"/>
      <c r="G96" s="27"/>
      <c r="H96" s="27"/>
      <c r="I96" s="27"/>
      <c r="J96" s="27"/>
      <c r="K96" s="27"/>
      <c r="L96" s="221">
        <f>(L38*K13)*-1</f>
        <v>90271.802522718019</v>
      </c>
      <c r="M96" s="39"/>
      <c r="N96" s="39"/>
      <c r="O96" s="36"/>
      <c r="P96" s="71">
        <f>P95-P92</f>
        <v>32440.351656093757</v>
      </c>
      <c r="Q96" s="117"/>
    </row>
    <row r="97" spans="1:20" x14ac:dyDescent="0.3">
      <c r="A97" s="114"/>
      <c r="B97" s="232" t="s">
        <v>99</v>
      </c>
      <c r="C97" s="37"/>
      <c r="D97" s="38"/>
      <c r="E97" s="38"/>
      <c r="F97" s="39"/>
      <c r="G97" s="39"/>
      <c r="H97" s="39"/>
      <c r="I97" s="39"/>
      <c r="J97" s="39"/>
      <c r="K97" s="39"/>
      <c r="L97" s="222">
        <f>SUM(L92:L96)</f>
        <v>652032.39183986036</v>
      </c>
      <c r="M97" s="39"/>
      <c r="N97" s="39"/>
      <c r="O97" s="36"/>
      <c r="P97" s="60"/>
      <c r="Q97" s="117"/>
    </row>
    <row r="98" spans="1:20" x14ac:dyDescent="0.3">
      <c r="A98" s="114"/>
      <c r="B98" s="212" t="s">
        <v>100</v>
      </c>
      <c r="C98" s="12"/>
      <c r="D98" s="13"/>
      <c r="E98" s="13"/>
      <c r="F98" s="14"/>
      <c r="G98" s="14"/>
      <c r="H98" s="14"/>
      <c r="I98" s="14"/>
      <c r="J98" s="14"/>
      <c r="K98" s="14"/>
      <c r="L98" s="223">
        <f>L91-L97</f>
        <v>64999.850077845505</v>
      </c>
      <c r="M98" s="39"/>
      <c r="N98" s="39"/>
      <c r="O98" s="36"/>
      <c r="P98" s="71">
        <f>P96</f>
        <v>32440.351656093757</v>
      </c>
      <c r="Q98" s="117"/>
    </row>
    <row r="99" spans="1:20" x14ac:dyDescent="0.3">
      <c r="A99" s="114"/>
      <c r="B99" s="92"/>
      <c r="C99" s="92"/>
      <c r="D99" s="15"/>
      <c r="E99" s="15"/>
      <c r="F99" s="16"/>
      <c r="G99" s="16"/>
      <c r="H99" s="16"/>
      <c r="I99" s="16"/>
      <c r="J99" s="16"/>
      <c r="K99" s="16"/>
      <c r="L99" s="16"/>
      <c r="M99" s="16"/>
      <c r="N99" s="16"/>
      <c r="O99" s="29"/>
      <c r="P99" s="60"/>
      <c r="Q99" s="117"/>
    </row>
    <row r="100" spans="1:20" ht="21" x14ac:dyDescent="0.4">
      <c r="A100" s="107"/>
      <c r="B100" s="1357" t="s">
        <v>102</v>
      </c>
      <c r="C100" s="1357"/>
      <c r="D100" s="1357"/>
      <c r="E100" s="1357"/>
      <c r="F100" s="1357"/>
      <c r="G100" s="1357"/>
      <c r="H100" s="1357"/>
      <c r="I100" s="1357"/>
      <c r="J100" s="1357"/>
      <c r="K100" s="1357"/>
      <c r="L100" s="1357"/>
      <c r="M100" s="1357"/>
      <c r="N100" s="1357"/>
      <c r="O100" s="1357"/>
      <c r="P100" s="152"/>
      <c r="Q100" s="113"/>
    </row>
    <row r="101" spans="1:20" x14ac:dyDescent="0.3">
      <c r="A101" s="114"/>
      <c r="B101" s="96"/>
      <c r="C101" s="96"/>
      <c r="D101" s="96"/>
      <c r="E101" s="96"/>
      <c r="F101" s="96"/>
      <c r="G101" s="96"/>
      <c r="H101" s="96"/>
      <c r="I101" s="96"/>
      <c r="J101" s="96"/>
      <c r="K101" s="96"/>
      <c r="L101" s="96"/>
      <c r="M101" s="96"/>
      <c r="N101" s="96"/>
      <c r="O101" s="28"/>
      <c r="P101" s="60"/>
      <c r="Q101" s="117"/>
    </row>
    <row r="102" spans="1:20" x14ac:dyDescent="0.3">
      <c r="A102" s="114"/>
      <c r="B102" s="233"/>
      <c r="C102" s="129" t="s">
        <v>19</v>
      </c>
      <c r="D102" s="207" t="s">
        <v>20</v>
      </c>
      <c r="E102" s="208"/>
      <c r="F102" s="1347" t="s">
        <v>21</v>
      </c>
      <c r="G102" s="1348"/>
      <c r="H102" s="1348"/>
      <c r="I102" s="1347" t="s">
        <v>22</v>
      </c>
      <c r="J102" s="1348"/>
      <c r="K102" s="1348"/>
      <c r="L102" s="178" t="s">
        <v>23</v>
      </c>
      <c r="M102" s="11"/>
      <c r="N102" s="11"/>
      <c r="O102" s="21"/>
      <c r="P102" s="60"/>
      <c r="Q102" s="117"/>
    </row>
    <row r="103" spans="1:20" x14ac:dyDescent="0.3">
      <c r="A103" s="114"/>
      <c r="B103" s="127"/>
      <c r="C103" s="141" t="s">
        <v>26</v>
      </c>
      <c r="D103" s="4" t="s">
        <v>26</v>
      </c>
      <c r="E103" s="5"/>
      <c r="F103" s="130"/>
      <c r="G103" s="129" t="s">
        <v>27</v>
      </c>
      <c r="H103" s="129" t="s">
        <v>27</v>
      </c>
      <c r="I103" s="130"/>
      <c r="J103" s="129"/>
      <c r="K103" s="129"/>
      <c r="L103" s="179" t="s">
        <v>28</v>
      </c>
      <c r="M103" s="17"/>
      <c r="N103" s="3"/>
      <c r="O103" s="21"/>
      <c r="P103" s="60"/>
      <c r="Q103" s="117"/>
    </row>
    <row r="104" spans="1:20" x14ac:dyDescent="0.3">
      <c r="A104" s="114"/>
      <c r="B104" s="127" t="s">
        <v>30</v>
      </c>
      <c r="C104" s="58" t="s">
        <v>31</v>
      </c>
      <c r="D104" s="8"/>
      <c r="E104" s="9"/>
      <c r="F104" s="131" t="s">
        <v>29</v>
      </c>
      <c r="G104" s="142" t="s">
        <v>32</v>
      </c>
      <c r="H104" s="143" t="s">
        <v>33</v>
      </c>
      <c r="I104" s="169" t="s">
        <v>34</v>
      </c>
      <c r="J104" s="174" t="s">
        <v>35</v>
      </c>
      <c r="K104" s="174" t="s">
        <v>36</v>
      </c>
      <c r="L104" s="238" t="s">
        <v>29</v>
      </c>
      <c r="M104" s="142" t="s">
        <v>32</v>
      </c>
      <c r="N104" s="143" t="s">
        <v>33</v>
      </c>
      <c r="O104" s="22" t="s">
        <v>37</v>
      </c>
      <c r="P104" s="60"/>
      <c r="Q104" s="117"/>
    </row>
    <row r="105" spans="1:20" x14ac:dyDescent="0.3">
      <c r="A105" s="114"/>
      <c r="B105" s="211" t="s">
        <v>38</v>
      </c>
      <c r="C105" s="94">
        <v>8</v>
      </c>
      <c r="D105" s="6">
        <f>D11</f>
        <v>15</v>
      </c>
      <c r="E105" s="6"/>
      <c r="F105" s="191">
        <f>(C105*D105*260)</f>
        <v>31200</v>
      </c>
      <c r="G105" s="192">
        <f>F105*1.1</f>
        <v>34320</v>
      </c>
      <c r="H105" s="193">
        <f>F105*1.2</f>
        <v>37440</v>
      </c>
      <c r="I105" s="154">
        <f>F105*5</f>
        <v>156000</v>
      </c>
      <c r="J105" s="153">
        <f>F105*5.5</f>
        <v>171600</v>
      </c>
      <c r="K105" s="153">
        <f>F105*6</f>
        <v>187200</v>
      </c>
      <c r="L105" s="197">
        <f>F105*65</f>
        <v>2028000</v>
      </c>
      <c r="M105" s="18">
        <f>G105*65</f>
        <v>2230800</v>
      </c>
      <c r="N105" s="10">
        <f>H105*65</f>
        <v>2433600</v>
      </c>
      <c r="O105" s="28"/>
      <c r="P105" s="60"/>
      <c r="Q105" s="117"/>
      <c r="R105" s="98">
        <f>G11</f>
        <v>153143</v>
      </c>
      <c r="S105" s="63">
        <f>R105/R108</f>
        <v>0.68305204189042124</v>
      </c>
      <c r="T105" t="s">
        <v>103</v>
      </c>
    </row>
    <row r="106" spans="1:20" x14ac:dyDescent="0.3">
      <c r="A106" s="114"/>
      <c r="B106" s="127" t="s">
        <v>39</v>
      </c>
      <c r="C106" s="58" t="s">
        <v>31</v>
      </c>
      <c r="D106" s="6"/>
      <c r="E106" s="6"/>
      <c r="F106" s="164"/>
      <c r="G106" s="153"/>
      <c r="H106" s="165"/>
      <c r="I106" s="154"/>
      <c r="J106" s="153"/>
      <c r="K106" s="153"/>
      <c r="L106" s="197"/>
      <c r="M106" s="18"/>
      <c r="N106" s="10"/>
      <c r="O106" s="28"/>
      <c r="P106" s="60"/>
      <c r="Q106" s="117"/>
      <c r="R106" s="98">
        <f>G12</f>
        <v>37964</v>
      </c>
      <c r="S106">
        <f>R106/R108</f>
        <v>0.16932793348914382</v>
      </c>
      <c r="T106" t="s">
        <v>104</v>
      </c>
    </row>
    <row r="107" spans="1:20" x14ac:dyDescent="0.3">
      <c r="A107" s="114"/>
      <c r="B107" s="211" t="s">
        <v>40</v>
      </c>
      <c r="C107" s="94">
        <v>6</v>
      </c>
      <c r="D107" s="6">
        <f>C11</f>
        <v>11</v>
      </c>
      <c r="E107" s="6"/>
      <c r="F107" s="164">
        <f>(C107*D107*260)</f>
        <v>17160</v>
      </c>
      <c r="G107" s="153">
        <f>F107*1.2</f>
        <v>20592</v>
      </c>
      <c r="H107" s="165">
        <f>F107*1.3</f>
        <v>22308</v>
      </c>
      <c r="I107" s="154">
        <f>F107*3</f>
        <v>51480</v>
      </c>
      <c r="J107" s="153">
        <f>F107*4</f>
        <v>68640</v>
      </c>
      <c r="K107" s="153">
        <f>F107*5</f>
        <v>85800</v>
      </c>
      <c r="L107" s="197">
        <f>F107*65</f>
        <v>1115400</v>
      </c>
      <c r="M107" s="18">
        <f>G107*65</f>
        <v>1338480</v>
      </c>
      <c r="N107" s="10">
        <f>H107*65</f>
        <v>1450020</v>
      </c>
      <c r="O107" s="28"/>
      <c r="P107" s="60"/>
      <c r="Q107" s="117"/>
      <c r="R107" s="98">
        <f>G13</f>
        <v>33097</v>
      </c>
      <c r="S107">
        <f>R107/R108</f>
        <v>0.14762002462043497</v>
      </c>
      <c r="T107" t="s">
        <v>105</v>
      </c>
    </row>
    <row r="108" spans="1:20" x14ac:dyDescent="0.3">
      <c r="A108" s="114"/>
      <c r="B108" s="127" t="s">
        <v>41</v>
      </c>
      <c r="C108" s="92" t="s">
        <v>42</v>
      </c>
      <c r="D108" s="6"/>
      <c r="E108" s="6"/>
      <c r="F108" s="164"/>
      <c r="G108" s="153"/>
      <c r="H108" s="165"/>
      <c r="I108" s="154"/>
      <c r="J108" s="153"/>
      <c r="K108" s="153"/>
      <c r="L108" s="197"/>
      <c r="M108" s="18"/>
      <c r="N108" s="10"/>
      <c r="O108" s="28"/>
      <c r="P108" s="60"/>
      <c r="Q108" s="117"/>
      <c r="R108" s="98">
        <f>SUM(R105:R107)</f>
        <v>224204</v>
      </c>
    </row>
    <row r="109" spans="1:20" x14ac:dyDescent="0.3">
      <c r="A109" s="114"/>
      <c r="B109" s="127" t="s">
        <v>43</v>
      </c>
      <c r="C109" s="92"/>
      <c r="D109" s="6"/>
      <c r="E109" s="6"/>
      <c r="F109" s="164"/>
      <c r="G109" s="153"/>
      <c r="H109" s="165"/>
      <c r="I109" s="154"/>
      <c r="J109" s="153">
        <f>L109/10</f>
        <v>35000</v>
      </c>
      <c r="K109" s="153"/>
      <c r="L109" s="197">
        <v>350000</v>
      </c>
      <c r="M109" s="18"/>
      <c r="N109" s="10"/>
      <c r="O109" s="28"/>
      <c r="P109" s="60"/>
      <c r="Q109" s="117"/>
      <c r="R109" s="98"/>
    </row>
    <row r="110" spans="1:20" x14ac:dyDescent="0.3">
      <c r="A110" s="114"/>
      <c r="B110" s="211" t="s">
        <v>95</v>
      </c>
      <c r="C110" s="94">
        <v>8</v>
      </c>
      <c r="D110" s="45">
        <v>2</v>
      </c>
      <c r="E110" s="6"/>
      <c r="F110" s="164">
        <f>(C110*D110*52)</f>
        <v>832</v>
      </c>
      <c r="G110" s="153">
        <f>F110*1.1</f>
        <v>915.2</v>
      </c>
      <c r="H110" s="165">
        <f>F110*1.2</f>
        <v>998.4</v>
      </c>
      <c r="I110" s="154">
        <f>F110*1.5</f>
        <v>1248</v>
      </c>
      <c r="J110" s="154">
        <f>G110*1.5</f>
        <v>1372.8000000000002</v>
      </c>
      <c r="K110" s="154">
        <f>H110*1.5</f>
        <v>1497.6</v>
      </c>
      <c r="L110" s="197">
        <f>F110*65</f>
        <v>54080</v>
      </c>
      <c r="M110" s="18">
        <f>G110*65</f>
        <v>59488</v>
      </c>
      <c r="N110" s="10">
        <f>H110*65</f>
        <v>64896</v>
      </c>
      <c r="O110" s="28"/>
      <c r="P110" s="60"/>
      <c r="Q110" s="117"/>
    </row>
    <row r="111" spans="1:20" x14ac:dyDescent="0.3">
      <c r="A111" s="114"/>
      <c r="B111" s="211" t="s">
        <v>96</v>
      </c>
      <c r="C111" s="94"/>
      <c r="D111" s="45"/>
      <c r="E111" s="6"/>
      <c r="F111" s="166"/>
      <c r="G111" s="167"/>
      <c r="H111" s="168"/>
      <c r="I111" s="154">
        <f>I30*$H$11</f>
        <v>13485.359714087044</v>
      </c>
      <c r="J111" s="154">
        <f>J30*$H$11</f>
        <v>18879.503599721862</v>
      </c>
      <c r="K111" s="154">
        <f>K30*$H$11</f>
        <v>21576.575542539271</v>
      </c>
      <c r="L111" s="197">
        <f>I11</f>
        <v>391726.4490740319</v>
      </c>
      <c r="M111" s="18">
        <f>L111*1.1</f>
        <v>430899.09398143511</v>
      </c>
      <c r="N111" s="10">
        <f>L111*1.2</f>
        <v>470071.73888883827</v>
      </c>
      <c r="O111" s="28"/>
      <c r="P111" s="60"/>
      <c r="Q111" s="117"/>
    </row>
    <row r="112" spans="1:20" x14ac:dyDescent="0.3">
      <c r="A112" s="114"/>
      <c r="B112" s="234" t="s">
        <v>92</v>
      </c>
      <c r="C112" s="199"/>
      <c r="D112" s="200"/>
      <c r="E112" s="200"/>
      <c r="F112" s="201">
        <f t="shared" ref="F112:K112" si="6">SUM(F105:F110)</f>
        <v>49192</v>
      </c>
      <c r="G112" s="202">
        <f t="shared" si="6"/>
        <v>55827.199999999997</v>
      </c>
      <c r="H112" s="203">
        <f t="shared" si="6"/>
        <v>60746.400000000001</v>
      </c>
      <c r="I112" s="204">
        <f>SUM(I105:I111)</f>
        <v>222213.35971408704</v>
      </c>
      <c r="J112" s="204">
        <f t="shared" si="6"/>
        <v>276612.8</v>
      </c>
      <c r="K112" s="204">
        <f t="shared" si="6"/>
        <v>274497.59999999998</v>
      </c>
      <c r="L112" s="225">
        <f>SUM(L105:L111)</f>
        <v>3939206.4490740318</v>
      </c>
      <c r="M112" s="39">
        <f>SUM(M105:M111)</f>
        <v>4059667.0939814351</v>
      </c>
      <c r="N112" s="40">
        <f>SUM(N105:N111)</f>
        <v>4418587.7388888383</v>
      </c>
      <c r="O112" s="36">
        <f>N112-L112</f>
        <v>479381.28981480654</v>
      </c>
      <c r="P112" s="60"/>
      <c r="Q112" s="117"/>
      <c r="R112" s="236"/>
    </row>
    <row r="113" spans="1:17" x14ac:dyDescent="0.3">
      <c r="A113" s="114"/>
      <c r="B113" s="127" t="s">
        <v>56</v>
      </c>
      <c r="C113" s="92"/>
      <c r="D113" s="15"/>
      <c r="E113" s="15"/>
      <c r="F113" s="16"/>
      <c r="G113" s="16"/>
      <c r="H113" s="16"/>
      <c r="I113" s="16"/>
      <c r="J113" s="16"/>
      <c r="K113" s="16"/>
      <c r="L113" s="219">
        <f>J112*C16</f>
        <v>276612.8</v>
      </c>
      <c r="M113" s="39"/>
      <c r="N113" s="39"/>
      <c r="O113" s="36"/>
      <c r="P113" s="65">
        <f>L113+L116+L118</f>
        <v>1014125.319514697</v>
      </c>
      <c r="Q113" s="117"/>
    </row>
    <row r="114" spans="1:17" x14ac:dyDescent="0.3">
      <c r="A114" s="114"/>
      <c r="B114" s="231" t="str">
        <f>B36</f>
        <v>Federal Grant Carbon Reduction Grant</v>
      </c>
      <c r="C114" s="74" t="s">
        <v>97</v>
      </c>
      <c r="D114" s="75"/>
      <c r="E114" s="75"/>
      <c r="F114" s="76"/>
      <c r="G114" s="76"/>
      <c r="H114" s="76"/>
      <c r="I114" s="76"/>
      <c r="J114" s="76"/>
      <c r="K114" s="76"/>
      <c r="L114" s="220">
        <f>(L36*K11)*-1</f>
        <v>208497.21958497219</v>
      </c>
      <c r="M114" s="39"/>
      <c r="N114" s="39"/>
      <c r="O114" s="36"/>
      <c r="P114" s="60"/>
      <c r="Q114" s="117"/>
    </row>
    <row r="115" spans="1:17" x14ac:dyDescent="0.3">
      <c r="A115" s="114"/>
      <c r="B115" s="125" t="s">
        <v>98</v>
      </c>
      <c r="C115" s="25"/>
      <c r="D115" s="26"/>
      <c r="E115" s="26"/>
      <c r="F115" s="27"/>
      <c r="G115" s="27"/>
      <c r="H115" s="27"/>
      <c r="I115" s="27"/>
      <c r="J115" s="27"/>
      <c r="K115" s="27"/>
      <c r="L115" s="221">
        <f>L48*L11</f>
        <v>2137557.9084844938</v>
      </c>
      <c r="M115" s="39"/>
      <c r="N115" s="39"/>
      <c r="O115" s="36"/>
      <c r="P115" s="64">
        <f>L115+L114</f>
        <v>2346055.128069466</v>
      </c>
      <c r="Q115" s="117"/>
    </row>
    <row r="116" spans="1:17" x14ac:dyDescent="0.3">
      <c r="A116" s="114"/>
      <c r="B116" s="125" t="s">
        <v>61</v>
      </c>
      <c r="C116" s="25"/>
      <c r="D116" s="26"/>
      <c r="E116" s="26"/>
      <c r="F116" s="27"/>
      <c r="G116" s="27"/>
      <c r="H116" s="27"/>
      <c r="I116" s="27"/>
      <c r="J116" s="27"/>
      <c r="K116" s="27"/>
      <c r="L116" s="221">
        <f>L49*L11</f>
        <v>273397.70871854888</v>
      </c>
      <c r="M116" s="39"/>
      <c r="N116" s="39"/>
      <c r="O116" s="36"/>
      <c r="P116" s="64">
        <f>P115/2</f>
        <v>1173027.564034733</v>
      </c>
      <c r="Q116" s="117"/>
    </row>
    <row r="117" spans="1:17" x14ac:dyDescent="0.3">
      <c r="A117" s="114"/>
      <c r="B117" s="231" t="s">
        <v>106</v>
      </c>
      <c r="C117" s="74"/>
      <c r="D117" s="75"/>
      <c r="E117" s="75"/>
      <c r="F117" s="76"/>
      <c r="G117" s="76"/>
      <c r="H117" s="76"/>
      <c r="I117" s="76"/>
      <c r="J117" s="76"/>
      <c r="K117" s="76"/>
      <c r="L117" s="220">
        <v>650000</v>
      </c>
      <c r="M117" s="39"/>
      <c r="N117" s="39"/>
      <c r="O117" s="36"/>
      <c r="P117" s="64"/>
      <c r="Q117" s="117"/>
    </row>
    <row r="118" spans="1:17" x14ac:dyDescent="0.3">
      <c r="A118" s="114"/>
      <c r="B118" s="125" t="s">
        <v>51</v>
      </c>
      <c r="C118" s="25"/>
      <c r="D118" s="26"/>
      <c r="E118" s="26"/>
      <c r="F118" s="27"/>
      <c r="G118" s="27"/>
      <c r="H118" s="27"/>
      <c r="I118" s="27"/>
      <c r="J118" s="27"/>
      <c r="K118" s="27"/>
      <c r="L118" s="221">
        <f>(L38*K11)*-1</f>
        <v>464114.81079614809</v>
      </c>
      <c r="M118" s="39"/>
      <c r="N118" s="39"/>
      <c r="O118" s="36"/>
      <c r="P118" s="71">
        <f>P116-P113</f>
        <v>158902.24452003604</v>
      </c>
      <c r="Q118" s="117"/>
    </row>
    <row r="119" spans="1:17" x14ac:dyDescent="0.3">
      <c r="A119" s="114"/>
      <c r="B119" s="232" t="s">
        <v>99</v>
      </c>
      <c r="C119" s="37"/>
      <c r="D119" s="38"/>
      <c r="E119" s="38"/>
      <c r="F119" s="39"/>
      <c r="G119" s="39"/>
      <c r="H119" s="39"/>
      <c r="I119" s="39"/>
      <c r="J119" s="39"/>
      <c r="K119" s="39"/>
      <c r="L119" s="222">
        <f>SUM(L113:L118)</f>
        <v>4010180.4475841629</v>
      </c>
      <c r="M119" s="39"/>
      <c r="N119" s="39"/>
      <c r="O119" s="36"/>
      <c r="P119" s="60"/>
      <c r="Q119" s="117"/>
    </row>
    <row r="120" spans="1:17" x14ac:dyDescent="0.3">
      <c r="A120" s="114"/>
      <c r="B120" s="212" t="s">
        <v>100</v>
      </c>
      <c r="C120" s="12"/>
      <c r="D120" s="13"/>
      <c r="E120" s="13"/>
      <c r="F120" s="14"/>
      <c r="G120" s="14"/>
      <c r="H120" s="14"/>
      <c r="I120" s="14"/>
      <c r="J120" s="14"/>
      <c r="K120" s="14"/>
      <c r="L120" s="226">
        <f>L112-L119</f>
        <v>-70973.998510131147</v>
      </c>
      <c r="M120" s="39"/>
      <c r="N120" s="39"/>
      <c r="O120" s="36"/>
      <c r="P120" s="71">
        <f>P118</f>
        <v>158902.24452003604</v>
      </c>
      <c r="Q120" s="117"/>
    </row>
    <row r="121" spans="1:17" x14ac:dyDescent="0.3">
      <c r="A121" s="114"/>
      <c r="B121" s="92"/>
      <c r="C121" s="92"/>
      <c r="D121" s="15"/>
      <c r="E121" s="15"/>
      <c r="F121" s="16"/>
      <c r="G121" s="16"/>
      <c r="H121" s="16"/>
      <c r="I121" s="16"/>
      <c r="J121" s="16"/>
      <c r="K121" s="16"/>
      <c r="L121" s="16"/>
      <c r="M121" s="41"/>
      <c r="N121" s="41"/>
      <c r="O121" s="36"/>
      <c r="P121" s="71"/>
      <c r="Q121" s="117"/>
    </row>
    <row r="122" spans="1:17" ht="21" x14ac:dyDescent="0.4">
      <c r="A122" s="107"/>
      <c r="B122" s="1357" t="s">
        <v>107</v>
      </c>
      <c r="C122" s="1357"/>
      <c r="D122" s="1357"/>
      <c r="E122" s="1357"/>
      <c r="F122" s="1357"/>
      <c r="G122" s="1357"/>
      <c r="H122" s="1357"/>
      <c r="I122" s="1357"/>
      <c r="J122" s="1357"/>
      <c r="K122" s="1357"/>
      <c r="L122" s="1357"/>
      <c r="M122" s="1357"/>
      <c r="N122" s="1357"/>
      <c r="O122" s="1357"/>
      <c r="P122" s="152"/>
      <c r="Q122" s="113"/>
    </row>
    <row r="123" spans="1:17" x14ac:dyDescent="0.3">
      <c r="A123" s="114"/>
      <c r="B123" s="96"/>
      <c r="C123" s="96"/>
      <c r="D123" s="96"/>
      <c r="E123" s="96"/>
      <c r="F123" s="96"/>
      <c r="G123" s="96"/>
      <c r="H123" s="96"/>
      <c r="I123" s="96"/>
      <c r="J123" s="96"/>
      <c r="K123" s="96"/>
      <c r="L123" s="96"/>
      <c r="M123" s="96"/>
      <c r="N123" s="96"/>
      <c r="O123" s="28"/>
      <c r="P123" s="60"/>
      <c r="Q123" s="117"/>
    </row>
    <row r="124" spans="1:17" x14ac:dyDescent="0.3">
      <c r="A124" s="114"/>
      <c r="B124" s="233"/>
      <c r="C124" s="129" t="s">
        <v>19</v>
      </c>
      <c r="D124" s="207" t="s">
        <v>20</v>
      </c>
      <c r="E124" s="208"/>
      <c r="F124" s="1347" t="s">
        <v>21</v>
      </c>
      <c r="G124" s="1348"/>
      <c r="H124" s="1348"/>
      <c r="I124" s="1347" t="s">
        <v>22</v>
      </c>
      <c r="J124" s="1348"/>
      <c r="K124" s="1348"/>
      <c r="L124" s="178" t="s">
        <v>23</v>
      </c>
      <c r="M124" s="11"/>
      <c r="N124" s="11"/>
      <c r="O124" s="21"/>
      <c r="P124" s="60"/>
      <c r="Q124" s="117"/>
    </row>
    <row r="125" spans="1:17" x14ac:dyDescent="0.3">
      <c r="A125" s="114"/>
      <c r="B125" s="127"/>
      <c r="C125" s="141" t="s">
        <v>26</v>
      </c>
      <c r="D125" s="4" t="s">
        <v>26</v>
      </c>
      <c r="E125" s="5"/>
      <c r="F125" s="130"/>
      <c r="G125" s="129" t="s">
        <v>27</v>
      </c>
      <c r="H125" s="163" t="s">
        <v>27</v>
      </c>
      <c r="I125" s="129"/>
      <c r="J125" s="129"/>
      <c r="K125" s="129"/>
      <c r="L125" s="179" t="s">
        <v>28</v>
      </c>
      <c r="M125" s="17"/>
      <c r="N125" s="3"/>
      <c r="O125" s="21"/>
      <c r="P125" s="60"/>
      <c r="Q125" s="117"/>
    </row>
    <row r="126" spans="1:17" x14ac:dyDescent="0.3">
      <c r="A126" s="114"/>
      <c r="B126" s="127" t="s">
        <v>30</v>
      </c>
      <c r="C126" s="58" t="s">
        <v>31</v>
      </c>
      <c r="D126" s="8"/>
      <c r="E126" s="9"/>
      <c r="F126" s="169" t="s">
        <v>29</v>
      </c>
      <c r="G126" s="170" t="s">
        <v>32</v>
      </c>
      <c r="H126" s="171" t="s">
        <v>33</v>
      </c>
      <c r="I126" s="174" t="s">
        <v>34</v>
      </c>
      <c r="J126" s="174" t="s">
        <v>35</v>
      </c>
      <c r="K126" s="174" t="s">
        <v>36</v>
      </c>
      <c r="L126" s="238" t="s">
        <v>29</v>
      </c>
      <c r="M126" s="142" t="s">
        <v>32</v>
      </c>
      <c r="N126" s="143" t="s">
        <v>33</v>
      </c>
      <c r="O126" s="22" t="s">
        <v>37</v>
      </c>
      <c r="P126" s="60"/>
      <c r="Q126" s="117"/>
    </row>
    <row r="127" spans="1:17" x14ac:dyDescent="0.3">
      <c r="A127" s="114"/>
      <c r="B127" s="211" t="s">
        <v>38</v>
      </c>
      <c r="C127" s="94">
        <v>8</v>
      </c>
      <c r="D127" s="6">
        <v>3</v>
      </c>
      <c r="E127" s="6"/>
      <c r="F127" s="164">
        <f>(C127*D127*260)</f>
        <v>6240</v>
      </c>
      <c r="G127" s="153">
        <f>F127*1.1</f>
        <v>6864.0000000000009</v>
      </c>
      <c r="H127" s="165">
        <f>F127*1.2</f>
        <v>7488</v>
      </c>
      <c r="I127" s="154">
        <f>F127*5</f>
        <v>31200</v>
      </c>
      <c r="J127" s="153">
        <f>F127*5.5</f>
        <v>34320</v>
      </c>
      <c r="K127" s="153">
        <f>F127*6</f>
        <v>37440</v>
      </c>
      <c r="L127" s="227">
        <f>F127*65</f>
        <v>405600</v>
      </c>
      <c r="M127" s="18">
        <f>G127*65</f>
        <v>446160.00000000006</v>
      </c>
      <c r="N127" s="10">
        <f>H127*65</f>
        <v>486720</v>
      </c>
      <c r="O127" s="28"/>
      <c r="P127" s="60"/>
      <c r="Q127" s="117"/>
    </row>
    <row r="128" spans="1:17" x14ac:dyDescent="0.3">
      <c r="A128" s="114"/>
      <c r="B128" s="127" t="s">
        <v>39</v>
      </c>
      <c r="C128" s="58" t="s">
        <v>31</v>
      </c>
      <c r="D128" s="6"/>
      <c r="E128" s="6"/>
      <c r="F128" s="164"/>
      <c r="G128" s="153"/>
      <c r="H128" s="165"/>
      <c r="I128" s="154"/>
      <c r="J128" s="153"/>
      <c r="K128" s="153"/>
      <c r="L128" s="227"/>
      <c r="M128" s="18"/>
      <c r="N128" s="10"/>
      <c r="O128" s="28"/>
      <c r="P128" s="60"/>
      <c r="Q128" s="117"/>
    </row>
    <row r="129" spans="1:17" x14ac:dyDescent="0.3">
      <c r="A129" s="114"/>
      <c r="B129" s="211" t="s">
        <v>40</v>
      </c>
      <c r="C129" s="94">
        <v>6</v>
      </c>
      <c r="D129" s="6">
        <v>2</v>
      </c>
      <c r="E129" s="6"/>
      <c r="F129" s="164">
        <f>(C129*D129*260)</f>
        <v>3120</v>
      </c>
      <c r="G129" s="153">
        <f>F129*1.1</f>
        <v>3432.0000000000005</v>
      </c>
      <c r="H129" s="165">
        <f>F129*1.2</f>
        <v>3744</v>
      </c>
      <c r="I129" s="154">
        <f>F129*3</f>
        <v>9360</v>
      </c>
      <c r="J129" s="153">
        <f>F129*4</f>
        <v>12480</v>
      </c>
      <c r="K129" s="153">
        <f>F129*5</f>
        <v>15600</v>
      </c>
      <c r="L129" s="227">
        <f>F129*65</f>
        <v>202800</v>
      </c>
      <c r="M129" s="18">
        <f>G129*65</f>
        <v>223080.00000000003</v>
      </c>
      <c r="N129" s="10">
        <f>H129*65</f>
        <v>243360</v>
      </c>
      <c r="O129" s="28"/>
      <c r="P129" s="60"/>
      <c r="Q129" s="117"/>
    </row>
    <row r="130" spans="1:17" x14ac:dyDescent="0.3">
      <c r="A130" s="114"/>
      <c r="B130" s="127" t="s">
        <v>41</v>
      </c>
      <c r="C130" s="92" t="s">
        <v>42</v>
      </c>
      <c r="D130" s="6"/>
      <c r="E130" s="6"/>
      <c r="F130" s="164"/>
      <c r="G130" s="153"/>
      <c r="H130" s="165"/>
      <c r="I130" s="154"/>
      <c r="J130" s="153"/>
      <c r="K130" s="153"/>
      <c r="L130" s="227"/>
      <c r="M130" s="18"/>
      <c r="N130" s="10"/>
      <c r="O130" s="28"/>
      <c r="P130" s="60"/>
      <c r="Q130" s="117"/>
    </row>
    <row r="131" spans="1:17" x14ac:dyDescent="0.3">
      <c r="A131" s="114"/>
      <c r="B131" s="127" t="s">
        <v>43</v>
      </c>
      <c r="C131" s="92"/>
      <c r="D131" s="6"/>
      <c r="E131" s="6"/>
      <c r="F131" s="164"/>
      <c r="G131" s="153"/>
      <c r="H131" s="165"/>
      <c r="I131" s="154"/>
      <c r="J131" s="153">
        <f>L131/10</f>
        <v>3000</v>
      </c>
      <c r="K131" s="153"/>
      <c r="L131" s="227">
        <v>30000</v>
      </c>
      <c r="M131" s="18"/>
      <c r="N131" s="10"/>
      <c r="O131" s="28"/>
      <c r="P131" s="60"/>
      <c r="Q131" s="117"/>
    </row>
    <row r="132" spans="1:17" x14ac:dyDescent="0.3">
      <c r="A132" s="114"/>
      <c r="B132" s="211" t="s">
        <v>95</v>
      </c>
      <c r="C132" s="94">
        <v>8</v>
      </c>
      <c r="D132" s="45">
        <v>1</v>
      </c>
      <c r="E132" s="6"/>
      <c r="F132" s="164">
        <f>(C132*D132*52)</f>
        <v>416</v>
      </c>
      <c r="G132" s="153">
        <f>F132*1.1</f>
        <v>457.6</v>
      </c>
      <c r="H132" s="165">
        <f>F132*1.2</f>
        <v>499.2</v>
      </c>
      <c r="I132" s="154">
        <f>F132*1.5</f>
        <v>624</v>
      </c>
      <c r="J132" s="154">
        <f>G132*1.5</f>
        <v>686.40000000000009</v>
      </c>
      <c r="K132" s="154">
        <f>H132*1.5</f>
        <v>748.8</v>
      </c>
      <c r="L132" s="227">
        <f>F132*65</f>
        <v>27040</v>
      </c>
      <c r="M132" s="18">
        <f>G132*65</f>
        <v>29744</v>
      </c>
      <c r="N132" s="10">
        <f>H132*65</f>
        <v>32448</v>
      </c>
      <c r="O132" s="28"/>
      <c r="P132" s="60"/>
      <c r="Q132" s="117"/>
    </row>
    <row r="133" spans="1:17" x14ac:dyDescent="0.3">
      <c r="A133" s="114"/>
      <c r="B133" s="211" t="s">
        <v>96</v>
      </c>
      <c r="C133" s="94"/>
      <c r="D133" s="45"/>
      <c r="E133" s="6"/>
      <c r="F133" s="164"/>
      <c r="G133" s="153"/>
      <c r="H133" s="165"/>
      <c r="I133" s="154">
        <f>I30*$H$10</f>
        <v>2030.0730875623615</v>
      </c>
      <c r="J133" s="154"/>
      <c r="K133" s="154">
        <f>K30*$H$10</f>
        <v>3248.1169400997783</v>
      </c>
      <c r="L133" s="227">
        <f>I10</f>
        <v>58970.123067673558</v>
      </c>
      <c r="M133" s="18">
        <f>L133*1.1</f>
        <v>64867.135374440921</v>
      </c>
      <c r="N133" s="10">
        <f>L133*1.2</f>
        <v>70764.147681208269</v>
      </c>
      <c r="O133" s="28"/>
      <c r="P133" s="60"/>
      <c r="Q133" s="117"/>
    </row>
    <row r="134" spans="1:17" x14ac:dyDescent="0.3">
      <c r="A134" s="114"/>
      <c r="B134" s="230" t="s">
        <v>92</v>
      </c>
      <c r="C134" s="32"/>
      <c r="D134" s="33"/>
      <c r="E134" s="33"/>
      <c r="F134" s="186">
        <f>SUM(F127:F132)</f>
        <v>9776</v>
      </c>
      <c r="G134" s="187">
        <f>SUM(G127:G132)</f>
        <v>10753.600000000002</v>
      </c>
      <c r="H134" s="188">
        <f>SUM(H127:H132)</f>
        <v>11731.2</v>
      </c>
      <c r="I134" s="187">
        <f t="shared" ref="I134:N134" si="7">SUM(I127:I133)</f>
        <v>43214.073087562363</v>
      </c>
      <c r="J134" s="187">
        <f t="shared" si="7"/>
        <v>50486.400000000001</v>
      </c>
      <c r="K134" s="187">
        <f t="shared" si="7"/>
        <v>57036.916940099778</v>
      </c>
      <c r="L134" s="224">
        <f t="shared" si="7"/>
        <v>724410.12306767353</v>
      </c>
      <c r="M134" s="34">
        <f t="shared" si="7"/>
        <v>763851.13537444104</v>
      </c>
      <c r="N134" s="35">
        <f t="shared" si="7"/>
        <v>833292.14768120833</v>
      </c>
      <c r="O134" s="36">
        <f>N134-L134</f>
        <v>108882.0246135348</v>
      </c>
      <c r="P134" s="60"/>
      <c r="Q134" s="117"/>
    </row>
    <row r="135" spans="1:17" x14ac:dyDescent="0.3">
      <c r="A135" s="114"/>
      <c r="B135" s="125" t="s">
        <v>56</v>
      </c>
      <c r="C135" s="25"/>
      <c r="D135" s="26"/>
      <c r="E135" s="26"/>
      <c r="F135" s="27"/>
      <c r="G135" s="27"/>
      <c r="H135" s="27"/>
      <c r="I135" s="27"/>
      <c r="J135" s="27"/>
      <c r="K135" s="27"/>
      <c r="L135" s="221">
        <f>J134*C16</f>
        <v>50486.400000000001</v>
      </c>
      <c r="M135" s="39"/>
      <c r="N135" s="39"/>
      <c r="O135" s="36"/>
      <c r="P135" s="65">
        <f>L135+L138+L139</f>
        <v>245215.7105804765</v>
      </c>
      <c r="Q135" s="117"/>
    </row>
    <row r="136" spans="1:17" x14ac:dyDescent="0.3">
      <c r="A136" s="114"/>
      <c r="B136" s="231" t="str">
        <f>B36</f>
        <v>Federal Grant Carbon Reduction Grant</v>
      </c>
      <c r="C136" s="74" t="s">
        <v>97</v>
      </c>
      <c r="D136" s="75"/>
      <c r="E136" s="75"/>
      <c r="F136" s="76"/>
      <c r="G136" s="76"/>
      <c r="H136" s="76"/>
      <c r="I136" s="76"/>
      <c r="J136" s="76"/>
      <c r="K136" s="76"/>
      <c r="L136" s="220">
        <f>(K10*L36)*-1</f>
        <v>41434.965414349659</v>
      </c>
      <c r="M136" s="39"/>
      <c r="N136" s="39"/>
      <c r="O136" s="36"/>
      <c r="P136" s="60"/>
      <c r="Q136" s="117"/>
    </row>
    <row r="137" spans="1:17" x14ac:dyDescent="0.3">
      <c r="A137" s="114"/>
      <c r="B137" s="125" t="s">
        <v>98</v>
      </c>
      <c r="C137" s="25"/>
      <c r="D137" s="26"/>
      <c r="E137" s="26"/>
      <c r="F137" s="27"/>
      <c r="G137" s="27"/>
      <c r="H137" s="27"/>
      <c r="I137" s="27"/>
      <c r="J137" s="27"/>
      <c r="K137" s="27"/>
      <c r="L137" s="221">
        <f>L51*L10</f>
        <v>382386.67924528301</v>
      </c>
      <c r="M137" s="39"/>
      <c r="N137" s="39"/>
      <c r="O137" s="36"/>
      <c r="P137" s="65">
        <f>L137+L136</f>
        <v>423821.6446596327</v>
      </c>
      <c r="Q137" s="117"/>
    </row>
    <row r="138" spans="1:17" x14ac:dyDescent="0.3">
      <c r="A138" s="114"/>
      <c r="B138" s="125" t="s">
        <v>61</v>
      </c>
      <c r="C138" s="25"/>
      <c r="D138" s="26"/>
      <c r="E138" s="26"/>
      <c r="F138" s="27"/>
      <c r="G138" s="27"/>
      <c r="H138" s="27"/>
      <c r="I138" s="27"/>
      <c r="J138" s="27"/>
      <c r="K138" s="27"/>
      <c r="L138" s="221">
        <f>L52*L10</f>
        <v>102495.07756813416</v>
      </c>
      <c r="M138" s="39"/>
      <c r="N138" s="39"/>
      <c r="O138" s="36"/>
      <c r="P138" s="64">
        <f>P137/2</f>
        <v>211910.82232981635</v>
      </c>
      <c r="Q138" s="117"/>
    </row>
    <row r="139" spans="1:17" x14ac:dyDescent="0.3">
      <c r="A139" s="114"/>
      <c r="B139" s="125" t="s">
        <v>51</v>
      </c>
      <c r="C139" s="25"/>
      <c r="D139" s="26"/>
      <c r="E139" s="26"/>
      <c r="F139" s="27"/>
      <c r="G139" s="27"/>
      <c r="H139" s="27"/>
      <c r="I139" s="27"/>
      <c r="J139" s="27"/>
      <c r="K139" s="27"/>
      <c r="L139" s="221">
        <f>(L38*K10)*-1</f>
        <v>92234.233012342331</v>
      </c>
      <c r="M139" s="39"/>
      <c r="N139" s="39"/>
      <c r="O139" s="36"/>
      <c r="P139" s="71">
        <f>P135-P138</f>
        <v>33304.888250660151</v>
      </c>
      <c r="Q139" s="117"/>
    </row>
    <row r="140" spans="1:17" x14ac:dyDescent="0.3">
      <c r="A140" s="114"/>
      <c r="B140" s="232" t="s">
        <v>99</v>
      </c>
      <c r="C140" s="37"/>
      <c r="D140" s="38"/>
      <c r="E140" s="38"/>
      <c r="F140" s="39"/>
      <c r="G140" s="39"/>
      <c r="H140" s="39"/>
      <c r="I140" s="39"/>
      <c r="J140" s="39"/>
      <c r="K140" s="39"/>
      <c r="L140" s="222">
        <f>SUM(L135:L139)</f>
        <v>669037.35524010914</v>
      </c>
      <c r="M140" s="39"/>
      <c r="N140" s="39"/>
      <c r="O140" s="36"/>
      <c r="P140" s="60"/>
      <c r="Q140" s="117"/>
    </row>
    <row r="141" spans="1:17" x14ac:dyDescent="0.3">
      <c r="A141" s="114"/>
      <c r="B141" s="212" t="s">
        <v>100</v>
      </c>
      <c r="C141" s="12"/>
      <c r="D141" s="13"/>
      <c r="E141" s="13"/>
      <c r="F141" s="14"/>
      <c r="G141" s="14"/>
      <c r="H141" s="14"/>
      <c r="I141" s="14"/>
      <c r="J141" s="14"/>
      <c r="K141" s="14"/>
      <c r="L141" s="223">
        <f>L134-L140</f>
        <v>55372.767827564385</v>
      </c>
      <c r="M141" s="39"/>
      <c r="N141" s="39"/>
      <c r="O141" s="36"/>
      <c r="P141" s="60"/>
      <c r="Q141" s="117"/>
    </row>
    <row r="142" spans="1:17" x14ac:dyDescent="0.3">
      <c r="A142" s="114"/>
      <c r="B142" s="92"/>
      <c r="C142" s="92"/>
      <c r="D142" s="15"/>
      <c r="E142" s="15"/>
      <c r="F142" s="16"/>
      <c r="G142" s="16"/>
      <c r="H142" s="16"/>
      <c r="I142" s="16"/>
      <c r="J142" s="16"/>
      <c r="K142" s="16"/>
      <c r="L142" s="16"/>
      <c r="M142" s="41"/>
      <c r="N142" s="41"/>
      <c r="O142" s="36"/>
      <c r="P142" s="60"/>
      <c r="Q142" s="117"/>
    </row>
    <row r="143" spans="1:17" ht="21" x14ac:dyDescent="0.4">
      <c r="A143" s="107"/>
      <c r="B143" s="1357" t="s">
        <v>108</v>
      </c>
      <c r="C143" s="1357"/>
      <c r="D143" s="1357"/>
      <c r="E143" s="1357"/>
      <c r="F143" s="1357"/>
      <c r="G143" s="1357"/>
      <c r="H143" s="1357"/>
      <c r="I143" s="1357"/>
      <c r="J143" s="1357"/>
      <c r="K143" s="1357"/>
      <c r="L143" s="1357"/>
      <c r="M143" s="1357"/>
      <c r="N143" s="1357"/>
      <c r="O143" s="1357"/>
      <c r="P143" s="152"/>
      <c r="Q143" s="113"/>
    </row>
    <row r="144" spans="1:17" x14ac:dyDescent="0.3">
      <c r="A144" s="114"/>
      <c r="B144" s="96"/>
      <c r="C144" s="96"/>
      <c r="D144" s="96"/>
      <c r="E144" s="96"/>
      <c r="F144" s="96"/>
      <c r="G144" s="96"/>
      <c r="H144" s="96"/>
      <c r="I144" s="96"/>
      <c r="J144" s="96"/>
      <c r="K144" s="96"/>
      <c r="L144" s="96"/>
      <c r="M144" s="96"/>
      <c r="N144" s="96"/>
      <c r="O144" s="28"/>
      <c r="P144" s="60"/>
      <c r="Q144" s="117"/>
    </row>
    <row r="145" spans="1:20" x14ac:dyDescent="0.3">
      <c r="A145" s="114"/>
      <c r="B145" s="233"/>
      <c r="C145" s="129" t="s">
        <v>19</v>
      </c>
      <c r="D145" s="207" t="s">
        <v>20</v>
      </c>
      <c r="E145" s="208"/>
      <c r="F145" s="1347" t="s">
        <v>21</v>
      </c>
      <c r="G145" s="1348"/>
      <c r="H145" s="1348"/>
      <c r="I145" s="1347" t="s">
        <v>22</v>
      </c>
      <c r="J145" s="1348"/>
      <c r="K145" s="1348"/>
      <c r="L145" s="178" t="s">
        <v>23</v>
      </c>
      <c r="M145" s="11"/>
      <c r="N145" s="11"/>
      <c r="O145" s="21"/>
      <c r="P145" s="60"/>
      <c r="Q145" s="117"/>
    </row>
    <row r="146" spans="1:20" x14ac:dyDescent="0.3">
      <c r="A146" s="114"/>
      <c r="B146" s="127"/>
      <c r="C146" s="141" t="s">
        <v>26</v>
      </c>
      <c r="D146" s="4" t="s">
        <v>26</v>
      </c>
      <c r="E146" s="5"/>
      <c r="F146" s="130"/>
      <c r="G146" s="129" t="s">
        <v>27</v>
      </c>
      <c r="H146" s="163" t="s">
        <v>27</v>
      </c>
      <c r="I146" s="129"/>
      <c r="J146" s="129"/>
      <c r="K146" s="129"/>
      <c r="L146" s="179" t="s">
        <v>28</v>
      </c>
      <c r="M146" s="17"/>
      <c r="N146" s="3"/>
      <c r="O146" s="21"/>
      <c r="P146" s="60"/>
      <c r="Q146" s="117"/>
    </row>
    <row r="147" spans="1:20" x14ac:dyDescent="0.3">
      <c r="A147" s="114"/>
      <c r="B147" s="127" t="s">
        <v>30</v>
      </c>
      <c r="C147" s="58" t="s">
        <v>31</v>
      </c>
      <c r="D147" s="8"/>
      <c r="E147" s="9"/>
      <c r="F147" s="169" t="s">
        <v>29</v>
      </c>
      <c r="G147" s="170" t="s">
        <v>32</v>
      </c>
      <c r="H147" s="171" t="s">
        <v>33</v>
      </c>
      <c r="I147" s="174" t="s">
        <v>34</v>
      </c>
      <c r="J147" s="174" t="s">
        <v>35</v>
      </c>
      <c r="K147" s="174" t="s">
        <v>36</v>
      </c>
      <c r="L147" s="238" t="s">
        <v>29</v>
      </c>
      <c r="M147" s="142" t="s">
        <v>32</v>
      </c>
      <c r="N147" s="143" t="s">
        <v>33</v>
      </c>
      <c r="O147" s="22" t="s">
        <v>37</v>
      </c>
      <c r="P147" s="60"/>
      <c r="Q147" s="117"/>
    </row>
    <row r="148" spans="1:20" x14ac:dyDescent="0.3">
      <c r="A148" s="114"/>
      <c r="B148" s="211" t="s">
        <v>38</v>
      </c>
      <c r="C148" s="94">
        <v>8</v>
      </c>
      <c r="D148" s="6">
        <v>12</v>
      </c>
      <c r="E148" s="6"/>
      <c r="F148" s="182">
        <f>(C148*D148*260)</f>
        <v>24960</v>
      </c>
      <c r="G148" s="7">
        <f>F148*1.1</f>
        <v>27456.000000000004</v>
      </c>
      <c r="H148" s="184">
        <f>F148*1.2</f>
        <v>29952</v>
      </c>
      <c r="I148" s="132">
        <f>F148*5</f>
        <v>124800</v>
      </c>
      <c r="J148" s="7">
        <f>F148*5.5</f>
        <v>137280</v>
      </c>
      <c r="K148" s="7">
        <f>F148*6</f>
        <v>149760</v>
      </c>
      <c r="L148" s="227">
        <f>F148*65</f>
        <v>1622400</v>
      </c>
      <c r="M148" s="18">
        <f>G148*65</f>
        <v>1784640.0000000002</v>
      </c>
      <c r="N148" s="10">
        <f>H148*6</f>
        <v>179712</v>
      </c>
      <c r="O148" s="28"/>
      <c r="P148" s="60"/>
      <c r="Q148" s="117"/>
    </row>
    <row r="149" spans="1:20" x14ac:dyDescent="0.3">
      <c r="A149" s="114"/>
      <c r="B149" s="127" t="s">
        <v>39</v>
      </c>
      <c r="C149" s="58" t="s">
        <v>31</v>
      </c>
      <c r="D149" s="6"/>
      <c r="E149" s="6"/>
      <c r="F149" s="182"/>
      <c r="G149" s="7"/>
      <c r="H149" s="184"/>
      <c r="I149" s="132"/>
      <c r="J149" s="7"/>
      <c r="K149" s="7"/>
      <c r="L149" s="227"/>
      <c r="M149" s="18"/>
      <c r="N149" s="10"/>
      <c r="O149" s="28"/>
      <c r="P149" s="60"/>
      <c r="Q149" s="117"/>
    </row>
    <row r="150" spans="1:20" x14ac:dyDescent="0.3">
      <c r="A150" s="114"/>
      <c r="B150" s="211" t="s">
        <v>40</v>
      </c>
      <c r="C150" s="94">
        <v>6</v>
      </c>
      <c r="D150" s="6">
        <f>C9</f>
        <v>9</v>
      </c>
      <c r="E150" s="6"/>
      <c r="F150" s="182">
        <f>(C150*D150*260)</f>
        <v>14040</v>
      </c>
      <c r="G150" s="7">
        <f>F150*1.1</f>
        <v>15444.000000000002</v>
      </c>
      <c r="H150" s="184">
        <f>F150*1.2</f>
        <v>16848</v>
      </c>
      <c r="I150" s="132">
        <f>F150*3</f>
        <v>42120</v>
      </c>
      <c r="J150" s="7">
        <f>F150*4</f>
        <v>56160</v>
      </c>
      <c r="K150" s="7">
        <f>F150*5</f>
        <v>70200</v>
      </c>
      <c r="L150" s="227">
        <f>F150*65</f>
        <v>912600</v>
      </c>
      <c r="M150" s="18">
        <f>G150*65</f>
        <v>1003860.0000000001</v>
      </c>
      <c r="N150" s="10">
        <f>H150*65</f>
        <v>1095120</v>
      </c>
      <c r="O150" s="28"/>
      <c r="P150" s="60"/>
      <c r="Q150" s="117"/>
      <c r="R150">
        <f>24536</f>
        <v>24536</v>
      </c>
      <c r="S150">
        <f>R150/R153</f>
        <v>0.21115500133391854</v>
      </c>
      <c r="T150" t="s">
        <v>109</v>
      </c>
    </row>
    <row r="151" spans="1:20" x14ac:dyDescent="0.3">
      <c r="A151" s="114"/>
      <c r="B151" s="127" t="s">
        <v>43</v>
      </c>
      <c r="C151" s="94"/>
      <c r="D151" s="6"/>
      <c r="E151" s="6"/>
      <c r="F151" s="182"/>
      <c r="G151" s="7"/>
      <c r="H151" s="184"/>
      <c r="I151" s="132"/>
      <c r="J151" s="7">
        <f>L151/10</f>
        <v>25000</v>
      </c>
      <c r="K151" s="7"/>
      <c r="L151" s="227">
        <v>250000</v>
      </c>
      <c r="M151" s="18"/>
      <c r="N151" s="10"/>
      <c r="O151" s="28"/>
      <c r="P151" s="60"/>
      <c r="Q151" s="117"/>
    </row>
    <row r="152" spans="1:20" x14ac:dyDescent="0.3">
      <c r="A152" s="114"/>
      <c r="B152" s="235" t="s">
        <v>110</v>
      </c>
      <c r="C152" s="92" t="s">
        <v>42</v>
      </c>
      <c r="D152" s="6"/>
      <c r="E152" s="6"/>
      <c r="F152" s="182"/>
      <c r="G152" s="7"/>
      <c r="H152" s="184"/>
      <c r="I152" s="132"/>
      <c r="J152" s="7"/>
      <c r="K152" s="7"/>
      <c r="L152" s="227"/>
      <c r="M152" s="18"/>
      <c r="N152" s="10"/>
      <c r="O152" s="28"/>
      <c r="P152" s="60"/>
      <c r="Q152" s="117"/>
      <c r="R152">
        <v>91663</v>
      </c>
      <c r="S152">
        <f>R152/R153</f>
        <v>0.78884499866608149</v>
      </c>
      <c r="T152" t="s">
        <v>111</v>
      </c>
    </row>
    <row r="153" spans="1:20" x14ac:dyDescent="0.3">
      <c r="A153" s="114"/>
      <c r="B153" s="211" t="s">
        <v>95</v>
      </c>
      <c r="C153" s="94">
        <v>8</v>
      </c>
      <c r="D153" s="45">
        <v>2</v>
      </c>
      <c r="E153" s="6"/>
      <c r="F153" s="182">
        <f>(C153*D153*52)</f>
        <v>832</v>
      </c>
      <c r="G153" s="7">
        <f>F153*1.1</f>
        <v>915.2</v>
      </c>
      <c r="H153" s="184">
        <f>F153*1.2</f>
        <v>998.4</v>
      </c>
      <c r="I153" s="132">
        <f>F153*1.5</f>
        <v>1248</v>
      </c>
      <c r="J153" s="132">
        <f>G153*1.5</f>
        <v>1372.8000000000002</v>
      </c>
      <c r="K153" s="132">
        <f>H153*1.5</f>
        <v>1497.6</v>
      </c>
      <c r="L153" s="227">
        <f>F153*65</f>
        <v>54080</v>
      </c>
      <c r="M153" s="18">
        <f>G153*65</f>
        <v>59488</v>
      </c>
      <c r="N153" s="10">
        <f>H153*65</f>
        <v>64896</v>
      </c>
      <c r="O153" s="28"/>
      <c r="P153" s="60"/>
      <c r="Q153" s="117"/>
      <c r="R153">
        <f>SUM(R150:R152)</f>
        <v>116199</v>
      </c>
      <c r="S153">
        <f>SUM(S150:S152)</f>
        <v>1</v>
      </c>
    </row>
    <row r="154" spans="1:20" x14ac:dyDescent="0.3">
      <c r="A154" s="114"/>
      <c r="B154" s="211" t="s">
        <v>96</v>
      </c>
      <c r="C154" s="94"/>
      <c r="D154" s="45"/>
      <c r="E154" s="6"/>
      <c r="F154" s="182"/>
      <c r="G154" s="7"/>
      <c r="H154" s="184"/>
      <c r="I154" s="132"/>
      <c r="J154" s="132"/>
      <c r="K154" s="132"/>
      <c r="L154" s="228">
        <f>I9</f>
        <v>209935.58213469124</v>
      </c>
      <c r="M154" s="18">
        <f>L154*1.1</f>
        <v>230929.14034816038</v>
      </c>
      <c r="N154" s="10">
        <f>L154*1.2</f>
        <v>251922.69856162948</v>
      </c>
      <c r="O154" s="28"/>
      <c r="P154" s="60">
        <v>127061</v>
      </c>
      <c r="Q154" s="117"/>
      <c r="R154" s="98"/>
    </row>
    <row r="155" spans="1:20" x14ac:dyDescent="0.3">
      <c r="A155" s="114"/>
      <c r="B155" s="230" t="s">
        <v>92</v>
      </c>
      <c r="C155" s="32"/>
      <c r="D155" s="33"/>
      <c r="E155" s="33"/>
      <c r="F155" s="183">
        <f>SUM(F148:F153)</f>
        <v>39832</v>
      </c>
      <c r="G155" s="34">
        <f>SUM(G148:G153)</f>
        <v>43815.200000000004</v>
      </c>
      <c r="H155" s="185">
        <f>SUM(H148:H153)</f>
        <v>47798.400000000001</v>
      </c>
      <c r="I155" s="34">
        <f t="shared" ref="I155:N155" si="8">SUM(I148:I154)</f>
        <v>168168</v>
      </c>
      <c r="J155" s="34">
        <f t="shared" si="8"/>
        <v>219812.8</v>
      </c>
      <c r="K155" s="34">
        <f t="shared" si="8"/>
        <v>221457.6</v>
      </c>
      <c r="L155" s="224">
        <f>SUM(L148:L154)</f>
        <v>3049015.5821346911</v>
      </c>
      <c r="M155" s="34">
        <f t="shared" si="8"/>
        <v>3078917.1403481606</v>
      </c>
      <c r="N155" s="35">
        <f t="shared" si="8"/>
        <v>1591650.6985616295</v>
      </c>
      <c r="O155" s="36">
        <f>N155-L155</f>
        <v>-1457364.8835730616</v>
      </c>
      <c r="P155" s="60"/>
      <c r="Q155" s="117"/>
      <c r="R155" s="236"/>
    </row>
    <row r="156" spans="1:20" x14ac:dyDescent="0.3">
      <c r="A156" s="114"/>
      <c r="B156" s="125" t="s">
        <v>56</v>
      </c>
      <c r="C156" s="25"/>
      <c r="D156" s="26"/>
      <c r="E156" s="26"/>
      <c r="F156" s="27"/>
      <c r="G156" s="27"/>
      <c r="H156" s="27"/>
      <c r="I156" s="27"/>
      <c r="J156" s="27"/>
      <c r="K156" s="27"/>
      <c r="L156" s="221">
        <f>J155*C16</f>
        <v>219812.8</v>
      </c>
      <c r="M156" s="39"/>
      <c r="N156" s="39"/>
      <c r="O156" s="36"/>
      <c r="P156" s="65">
        <f>L156+L159+L160</f>
        <v>1013231.1611949201</v>
      </c>
      <c r="Q156" s="117"/>
    </row>
    <row r="157" spans="1:20" x14ac:dyDescent="0.3">
      <c r="A157" s="114"/>
      <c r="B157" s="231" t="str">
        <f>B36</f>
        <v>Federal Grant Carbon Reduction Grant</v>
      </c>
      <c r="C157" s="74" t="s">
        <v>97</v>
      </c>
      <c r="D157" s="75"/>
      <c r="E157" s="75"/>
      <c r="F157" s="76"/>
      <c r="G157" s="76"/>
      <c r="H157" s="76"/>
      <c r="I157" s="76"/>
      <c r="J157" s="76"/>
      <c r="K157" s="76"/>
      <c r="L157" s="220">
        <f>(K9*L36)*-1</f>
        <v>168825.44418825442</v>
      </c>
      <c r="M157" s="39"/>
      <c r="N157" s="39"/>
      <c r="O157" s="36"/>
      <c r="P157" s="64"/>
      <c r="Q157" s="117"/>
    </row>
    <row r="158" spans="1:20" x14ac:dyDescent="0.3">
      <c r="A158" s="114"/>
      <c r="B158" s="125" t="s">
        <v>98</v>
      </c>
      <c r="C158" s="25"/>
      <c r="D158" s="26"/>
      <c r="E158" s="26"/>
      <c r="F158" s="27"/>
      <c r="G158" s="27"/>
      <c r="H158" s="27"/>
      <c r="I158" s="27"/>
      <c r="J158" s="27"/>
      <c r="K158" s="27"/>
      <c r="L158" s="221">
        <f>L51*L9</f>
        <v>1558022.3207547171</v>
      </c>
      <c r="M158" s="39"/>
      <c r="N158" s="39"/>
      <c r="O158" s="36"/>
      <c r="P158" s="65">
        <f>L158+L157</f>
        <v>1726847.7649429715</v>
      </c>
      <c r="Q158" s="117"/>
    </row>
    <row r="159" spans="1:20" x14ac:dyDescent="0.3">
      <c r="A159" s="114"/>
      <c r="B159" s="125" t="s">
        <v>61</v>
      </c>
      <c r="C159" s="25"/>
      <c r="D159" s="26"/>
      <c r="E159" s="26"/>
      <c r="F159" s="27"/>
      <c r="G159" s="27"/>
      <c r="H159" s="27"/>
      <c r="I159" s="27"/>
      <c r="J159" s="27"/>
      <c r="K159" s="27"/>
      <c r="L159" s="221">
        <f>L52*L9</f>
        <v>417612.92243186582</v>
      </c>
      <c r="M159" s="39"/>
      <c r="N159" s="39"/>
      <c r="O159" s="36"/>
      <c r="P159" s="64">
        <f>P158/2</f>
        <v>863423.88247148576</v>
      </c>
      <c r="Q159" s="117"/>
      <c r="R159" s="99"/>
    </row>
    <row r="160" spans="1:20" x14ac:dyDescent="0.3">
      <c r="A160" s="114"/>
      <c r="B160" s="125" t="s">
        <v>51</v>
      </c>
      <c r="C160" s="25"/>
      <c r="D160" s="26"/>
      <c r="E160" s="26"/>
      <c r="F160" s="27"/>
      <c r="G160" s="27"/>
      <c r="H160" s="27"/>
      <c r="I160" s="27"/>
      <c r="J160" s="27"/>
      <c r="K160" s="27"/>
      <c r="L160" s="221">
        <f>(L38*K9)*-1</f>
        <v>375805.43876305438</v>
      </c>
      <c r="M160" s="39"/>
      <c r="N160" s="39"/>
      <c r="O160" s="36"/>
      <c r="P160" s="64">
        <f>P156-P159</f>
        <v>149807.27872343431</v>
      </c>
      <c r="Q160" s="117"/>
    </row>
    <row r="161" spans="1:17" x14ac:dyDescent="0.3">
      <c r="A161" s="114"/>
      <c r="B161" s="232" t="s">
        <v>99</v>
      </c>
      <c r="C161" s="37"/>
      <c r="D161" s="38"/>
      <c r="E161" s="38"/>
      <c r="F161" s="39"/>
      <c r="G161" s="39"/>
      <c r="H161" s="39"/>
      <c r="I161" s="39"/>
      <c r="J161" s="39"/>
      <c r="K161" s="39"/>
      <c r="L161" s="222">
        <f>SUM(L156:L160)</f>
        <v>2740078.9261378921</v>
      </c>
      <c r="M161" s="39"/>
      <c r="N161" s="39"/>
      <c r="O161" s="36"/>
      <c r="P161" s="60"/>
      <c r="Q161" s="117"/>
    </row>
    <row r="162" spans="1:17" x14ac:dyDescent="0.3">
      <c r="A162" s="114"/>
      <c r="B162" s="212" t="s">
        <v>112</v>
      </c>
      <c r="C162" s="12"/>
      <c r="D162" s="13"/>
      <c r="E162" s="13"/>
      <c r="F162" s="14"/>
      <c r="G162" s="14"/>
      <c r="H162" s="14"/>
      <c r="I162" s="14"/>
      <c r="J162" s="14"/>
      <c r="K162" s="14"/>
      <c r="L162" s="229">
        <f>L155-L161</f>
        <v>308936.655996799</v>
      </c>
      <c r="M162" s="39"/>
      <c r="N162" s="39"/>
      <c r="O162" s="36"/>
      <c r="P162" s="73"/>
      <c r="Q162" s="117"/>
    </row>
    <row r="163" spans="1:17" x14ac:dyDescent="0.3">
      <c r="A163" s="120"/>
      <c r="B163" s="121"/>
      <c r="C163" s="121"/>
      <c r="D163" s="122"/>
      <c r="E163" s="123"/>
      <c r="F163" s="121"/>
      <c r="G163" s="121"/>
      <c r="H163" s="121"/>
      <c r="I163" s="121"/>
      <c r="J163" s="121"/>
      <c r="K163" s="121"/>
      <c r="L163" s="123"/>
      <c r="M163" s="123"/>
      <c r="N163" s="123"/>
      <c r="O163" s="121"/>
      <c r="P163" s="121"/>
      <c r="Q163" s="124"/>
    </row>
    <row r="167" spans="1:17" x14ac:dyDescent="0.3">
      <c r="C167" s="1349" t="s">
        <v>113</v>
      </c>
      <c r="D167" s="1349"/>
    </row>
    <row r="168" spans="1:17" x14ac:dyDescent="0.3">
      <c r="C168" t="s">
        <v>103</v>
      </c>
      <c r="D168" s="240" t="e">
        <f>#REF!</f>
        <v>#REF!</v>
      </c>
      <c r="E168" s="242" t="e">
        <f>D168/$D$172</f>
        <v>#REF!</v>
      </c>
    </row>
    <row r="169" spans="1:17" x14ac:dyDescent="0.3">
      <c r="C169" t="s">
        <v>111</v>
      </c>
      <c r="D169" s="240" t="e">
        <f>#REF!</f>
        <v>#REF!</v>
      </c>
      <c r="E169" s="242" t="e">
        <f>D169/$D$172</f>
        <v>#REF!</v>
      </c>
    </row>
    <row r="170" spans="1:17" x14ac:dyDescent="0.3">
      <c r="C170" t="s">
        <v>114</v>
      </c>
      <c r="D170" s="240" t="e">
        <f>#REF!</f>
        <v>#REF!</v>
      </c>
      <c r="E170" s="242" t="e">
        <f>D170/$D$172</f>
        <v>#REF!</v>
      </c>
    </row>
    <row r="171" spans="1:17" x14ac:dyDescent="0.3">
      <c r="C171" t="s">
        <v>77</v>
      </c>
      <c r="D171" s="240" t="e">
        <f>#REF!</f>
        <v>#REF!</v>
      </c>
      <c r="E171" s="242" t="e">
        <f>D171/$D$172</f>
        <v>#REF!</v>
      </c>
    </row>
    <row r="172" spans="1:17" x14ac:dyDescent="0.3">
      <c r="C172" t="s">
        <v>92</v>
      </c>
      <c r="D172" s="241" t="e">
        <f>SUM(D168:D171)</f>
        <v>#REF!</v>
      </c>
    </row>
  </sheetData>
  <mergeCells count="29">
    <mergeCell ref="W32:W34"/>
    <mergeCell ref="V32:V34"/>
    <mergeCell ref="U32:U34"/>
    <mergeCell ref="T32:T34"/>
    <mergeCell ref="S32:S34"/>
    <mergeCell ref="C167:D167"/>
    <mergeCell ref="B7:I7"/>
    <mergeCell ref="S7:X7"/>
    <mergeCell ref="X32:X34"/>
    <mergeCell ref="B122:O122"/>
    <mergeCell ref="F124:H124"/>
    <mergeCell ref="I124:K124"/>
    <mergeCell ref="B143:O143"/>
    <mergeCell ref="F145:H145"/>
    <mergeCell ref="I145:K145"/>
    <mergeCell ref="B79:O79"/>
    <mergeCell ref="F81:H81"/>
    <mergeCell ref="I81:K81"/>
    <mergeCell ref="B100:O100"/>
    <mergeCell ref="F102:H102"/>
    <mergeCell ref="I102:K102"/>
    <mergeCell ref="F60:H60"/>
    <mergeCell ref="I60:K60"/>
    <mergeCell ref="S46:T46"/>
    <mergeCell ref="B18:O18"/>
    <mergeCell ref="B19:O19"/>
    <mergeCell ref="F20:H20"/>
    <mergeCell ref="I20:K20"/>
    <mergeCell ref="B58:O58"/>
  </mergeCells>
  <pageMargins left="0.7" right="0.7" top="0.75" bottom="0.75" header="0.3" footer="0.3"/>
  <pageSetup paperSize="17" scale="64" fitToHeight="0" orientation="portrait" r:id="rId1"/>
  <rowBreaks count="2" manualBreakCount="2">
    <brk id="57" max="14" man="1"/>
    <brk id="121"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8A2C2-A1A8-444F-889D-6E60FBF20760}">
  <sheetPr>
    <tabColor rgb="FFFFC000"/>
  </sheetPr>
  <dimension ref="A1"/>
  <sheetViews>
    <sheetView workbookViewId="0">
      <selection activeCell="F17" sqref="F17"/>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C747B-0ADF-4E27-A789-47A977887052}">
  <sheetPr>
    <tabColor rgb="FFFFC000"/>
  </sheetPr>
  <dimension ref="B6:Q51"/>
  <sheetViews>
    <sheetView showGridLines="0" workbookViewId="0">
      <selection activeCell="D7" sqref="D7:K28"/>
    </sheetView>
  </sheetViews>
  <sheetFormatPr defaultRowHeight="14.4" x14ac:dyDescent="0.3"/>
  <cols>
    <col min="4" max="4" width="2.77734375" customWidth="1"/>
    <col min="5" max="5" width="43.109375" customWidth="1"/>
    <col min="6" max="10" width="15.88671875" customWidth="1"/>
    <col min="11" max="11" width="2.77734375" customWidth="1"/>
  </cols>
  <sheetData>
    <row r="6" spans="2:17" ht="15" thickBot="1" x14ac:dyDescent="0.35"/>
    <row r="7" spans="2:17" ht="31.5" customHeight="1" x14ac:dyDescent="0.3">
      <c r="D7" s="1038"/>
      <c r="E7" s="1337" t="s">
        <v>850</v>
      </c>
      <c r="F7" s="1147"/>
      <c r="G7" s="1147"/>
      <c r="H7" s="1147"/>
      <c r="I7" s="1147"/>
      <c r="J7" s="1147"/>
      <c r="K7" s="1037"/>
      <c r="N7" s="362"/>
      <c r="O7" s="362"/>
      <c r="P7" s="481"/>
      <c r="Q7" s="481"/>
    </row>
    <row r="8" spans="2:17" ht="15.75" customHeight="1" x14ac:dyDescent="0.3">
      <c r="D8" s="1145"/>
      <c r="E8" s="938"/>
      <c r="F8" s="505"/>
      <c r="G8" s="505"/>
      <c r="H8" s="505"/>
      <c r="I8" s="505"/>
      <c r="J8" s="505"/>
      <c r="K8" s="1146"/>
      <c r="N8" s="362"/>
      <c r="O8" s="362"/>
      <c r="P8" s="481"/>
      <c r="Q8" s="481"/>
    </row>
    <row r="9" spans="2:17" ht="15.75" customHeight="1" x14ac:dyDescent="0.3">
      <c r="D9" s="1039"/>
      <c r="E9" s="1040"/>
      <c r="F9" s="505" t="s">
        <v>552</v>
      </c>
      <c r="G9" s="505" t="s">
        <v>553</v>
      </c>
      <c r="H9" s="505" t="s">
        <v>554</v>
      </c>
      <c r="I9" s="505" t="s">
        <v>555</v>
      </c>
      <c r="J9" s="505" t="s">
        <v>556</v>
      </c>
      <c r="K9" s="1041"/>
      <c r="L9" s="1030" t="s">
        <v>766</v>
      </c>
      <c r="N9" s="362"/>
      <c r="O9" s="362"/>
      <c r="P9" s="481"/>
      <c r="Q9" s="481"/>
    </row>
    <row r="10" spans="2:17" x14ac:dyDescent="0.3">
      <c r="D10" s="804"/>
      <c r="E10" s="94"/>
      <c r="F10" s="94"/>
      <c r="G10" s="94"/>
      <c r="H10" s="94"/>
      <c r="I10" s="94"/>
      <c r="J10" s="94"/>
      <c r="K10" s="21"/>
      <c r="N10" s="362"/>
      <c r="O10" s="362"/>
      <c r="P10" s="481"/>
      <c r="Q10" s="481"/>
    </row>
    <row r="11" spans="2:17" x14ac:dyDescent="0.3">
      <c r="D11" s="804"/>
      <c r="E11" s="92" t="s">
        <v>803</v>
      </c>
      <c r="F11" s="1031">
        <f>SUM('T2-4 A1 TTD LL Costs'!G220,'T2-4 A1 TTD LL Costs'!G243,'T5-7 TART TNTTMA FinancialPlan'!G129,'T5-7 TART TNTTMA FinancialPlan'!G175)</f>
        <v>23108270.503128141</v>
      </c>
      <c r="G11" s="1031">
        <f>SUM('T2-4 A1 TTD LL Costs'!H220,'T2-4 A1 TTD LL Costs'!H243,'T5-7 TART TNTTMA FinancialPlan'!H129,'T5-7 TART TNTTMA FinancialPlan'!H175)</f>
        <v>24018005.803253267</v>
      </c>
      <c r="H11" s="1031">
        <f>SUM('T2-4 A1 TTD LL Costs'!I220,'T2-4 A1 TTD LL Costs'!I243,'T5-7 TART TNTTMA FinancialPlan'!I129,'T5-7 TART TNTTMA FinancialPlan'!I175)</f>
        <v>24434406.675383396</v>
      </c>
      <c r="I11" s="1031">
        <f>SUM('T2-4 A1 TTD LL Costs'!J220,'T2-4 A1 TTD LL Costs'!J243,'T5-7 TART TNTTMA FinancialPlan'!J129,'T5-7 TART TNTTMA FinancialPlan'!J175)</f>
        <v>25544179.569317132</v>
      </c>
      <c r="J11" s="1031">
        <f>SUM('T2-4 A1 TTD LL Costs'!K220,'T2-4 A1 TTD LL Costs'!K243,'T5-7 TART TNTTMA FinancialPlan'!K129,'T5-7 TART TNTTMA FinancialPlan'!K175)</f>
        <v>26541674.037154783</v>
      </c>
      <c r="K11" s="21"/>
      <c r="N11" s="362"/>
      <c r="O11" s="362"/>
      <c r="P11" s="481"/>
      <c r="Q11" s="481"/>
    </row>
    <row r="12" spans="2:17" x14ac:dyDescent="0.3">
      <c r="D12" s="804"/>
      <c r="E12" s="92" t="s">
        <v>804</v>
      </c>
      <c r="F12" s="1031">
        <f>SUM('T2-4 A1 TTD LL Costs'!G221,'T2-4 A1 TTD LL Costs'!G244,'T5-7 TART TNTTMA FinancialPlan'!G130,'T5-7 TART TNTTMA FinancialPlan'!G176)</f>
        <v>23599170.503128141</v>
      </c>
      <c r="G12" s="1031">
        <f>SUM('T2-4 A1 TTD LL Costs'!H221,'T2-4 A1 TTD LL Costs'!H244,'T5-7 TART TNTTMA FinancialPlan'!H130,'T5-7 TART TNTTMA FinancialPlan'!H176)</f>
        <v>26067505.803253267</v>
      </c>
      <c r="H12" s="1031">
        <f>SUM('T2-4 A1 TTD LL Costs'!I221,'T2-4 A1 TTD LL Costs'!I244,'T5-7 TART TNTTMA FinancialPlan'!I130,'T5-7 TART TNTTMA FinancialPlan'!I176)</f>
        <v>27095906.675383396</v>
      </c>
      <c r="I12" s="1031">
        <f>SUM('T2-4 A1 TTD LL Costs'!J221,'T2-4 A1 TTD LL Costs'!J244,'T5-7 TART TNTTMA FinancialPlan'!J130,'T5-7 TART TNTTMA FinancialPlan'!J176)</f>
        <v>28307579.569317132</v>
      </c>
      <c r="J12" s="1031">
        <f>SUM('T2-4 A1 TTD LL Costs'!K221,'T2-4 A1 TTD LL Costs'!K244,'T5-7 TART TNTTMA FinancialPlan'!K130,'T5-7 TART TNTTMA FinancialPlan'!K176)</f>
        <v>29636474.037154783</v>
      </c>
      <c r="K12" s="21"/>
      <c r="N12" s="362"/>
      <c r="O12" s="362"/>
      <c r="P12" s="481"/>
      <c r="Q12" s="481"/>
    </row>
    <row r="13" spans="2:17" s="1076" customFormat="1" ht="7.5" customHeight="1" x14ac:dyDescent="0.3">
      <c r="B13"/>
      <c r="D13" s="1254"/>
      <c r="E13" s="1255"/>
      <c r="F13" s="1256"/>
      <c r="G13" s="1256"/>
      <c r="H13" s="1256"/>
      <c r="I13" s="1256"/>
      <c r="J13" s="1256"/>
      <c r="K13" s="1257"/>
      <c r="N13" s="1125"/>
      <c r="O13" s="1125"/>
      <c r="P13" s="1126"/>
      <c r="Q13" s="1126"/>
    </row>
    <row r="14" spans="2:17" x14ac:dyDescent="0.3">
      <c r="D14" s="804"/>
      <c r="E14" s="92" t="s">
        <v>548</v>
      </c>
      <c r="F14" s="1031">
        <f>SUM('T2-4 A1 TTD LL Costs'!G223,'T2-4 A1 TTD LL Costs'!G246,'T5-7 TART TNTTMA FinancialPlan'!G132,'T5-7 TART TNTTMA FinancialPlan'!G178)</f>
        <v>27076406</v>
      </c>
      <c r="G14" s="1031">
        <f>SUM('T2-4 A1 TTD LL Costs'!H223,'T2-4 A1 TTD LL Costs'!H246,'T5-7 TART TNTTMA FinancialPlan'!H132,'T5-7 TART TNTTMA FinancialPlan'!H178)</f>
        <v>24601799</v>
      </c>
      <c r="H14" s="1031">
        <f>SUM('T2-4 A1 TTD LL Costs'!I223,'T2-4 A1 TTD LL Costs'!I246,'T5-7 TART TNTTMA FinancialPlan'!I132,'T5-7 TART TNTTMA FinancialPlan'!I178)</f>
        <v>24468850</v>
      </c>
      <c r="I14" s="1031">
        <f>SUM('T2-4 A1 TTD LL Costs'!J223,'T2-4 A1 TTD LL Costs'!J246,'T5-7 TART TNTTMA FinancialPlan'!J132,'T5-7 TART TNTTMA FinancialPlan'!J178)</f>
        <v>24646600</v>
      </c>
      <c r="J14" s="1031">
        <f>SUM('T2-4 A1 TTD LL Costs'!K223,'T2-4 A1 TTD LL Costs'!K246,'T5-7 TART TNTTMA FinancialPlan'!K132,'T5-7 TART TNTTMA FinancialPlan'!K178)</f>
        <v>25211000</v>
      </c>
      <c r="K14" s="1032"/>
      <c r="N14" s="362"/>
      <c r="O14" s="362"/>
      <c r="P14" s="481"/>
      <c r="Q14" s="481"/>
    </row>
    <row r="15" spans="2:17" x14ac:dyDescent="0.3">
      <c r="D15" s="804"/>
      <c r="E15" s="94" t="s">
        <v>792</v>
      </c>
      <c r="F15" s="1034">
        <f>SUM('T2-4 A1 TTD LL Costs'!G224,'T2-4 A1 TTD LL Costs'!G247,'T5-7 TART TNTTMA FinancialPlan'!G133,'T5-7 TART TNTTMA FinancialPlan'!G179)</f>
        <v>13243732</v>
      </c>
      <c r="G15" s="1034">
        <f>SUM('T2-4 A1 TTD LL Costs'!H224,'T2-4 A1 TTD LL Costs'!H247,'T5-7 TART TNTTMA FinancialPlan'!H133,'T5-7 TART TNTTMA FinancialPlan'!H179)</f>
        <v>12413500</v>
      </c>
      <c r="H15" s="1034">
        <f>SUM('T2-4 A1 TTD LL Costs'!I224,'T2-4 A1 TTD LL Costs'!I247,'T5-7 TART TNTTMA FinancialPlan'!I133,'T5-7 TART TNTTMA FinancialPlan'!I179)</f>
        <v>12408500</v>
      </c>
      <c r="I15" s="1034">
        <f>SUM('T2-4 A1 TTD LL Costs'!J224,'T2-4 A1 TTD LL Costs'!J247,'T5-7 TART TNTTMA FinancialPlan'!J133,'T5-7 TART TNTTMA FinancialPlan'!J179)</f>
        <v>12558400</v>
      </c>
      <c r="J15" s="1034">
        <f>SUM('T2-4 A1 TTD LL Costs'!K224,'T2-4 A1 TTD LL Costs'!K247,'T5-7 TART TNTTMA FinancialPlan'!K133,'T5-7 TART TNTTMA FinancialPlan'!K179)</f>
        <v>12552400</v>
      </c>
      <c r="K15" s="21"/>
      <c r="L15" s="1033">
        <f>F15/$F$14</f>
        <v>0.48912444288211665</v>
      </c>
      <c r="M15" s="1033">
        <f t="shared" ref="M15:P21" si="0">G15/$F$14</f>
        <v>0.45846188005897087</v>
      </c>
      <c r="N15" s="1033">
        <f t="shared" si="0"/>
        <v>0.45827721744163535</v>
      </c>
      <c r="O15" s="1033">
        <f t="shared" si="0"/>
        <v>0.46381340270935517</v>
      </c>
      <c r="P15" s="1033">
        <f t="shared" si="0"/>
        <v>0.46359180756855251</v>
      </c>
      <c r="Q15" s="481"/>
    </row>
    <row r="16" spans="2:17" x14ac:dyDescent="0.3">
      <c r="D16" s="804"/>
      <c r="E16" s="94" t="s">
        <v>687</v>
      </c>
      <c r="F16" s="1034">
        <f>SUM('T2-4 A1 TTD LL Costs'!G225,'T2-4 A1 TTD LL Costs'!G248,'T5-7 TART TNTTMA FinancialPlan'!G134,'T5-7 TART TNTTMA FinancialPlan'!G180)</f>
        <v>545416</v>
      </c>
      <c r="G16" s="1034">
        <f>SUM('T2-4 A1 TTD LL Costs'!H225,'T2-4 A1 TTD LL Costs'!H248,'T5-7 TART TNTTMA FinancialPlan'!H134,'T5-7 TART TNTTMA FinancialPlan'!H180)</f>
        <v>545090</v>
      </c>
      <c r="H16" s="1034">
        <f>SUM('T2-4 A1 TTD LL Costs'!I225,'T2-4 A1 TTD LL Costs'!I248,'T5-7 TART TNTTMA FinancialPlan'!I134,'T5-7 TART TNTTMA FinancialPlan'!I180)</f>
        <v>273500</v>
      </c>
      <c r="I16" s="1034">
        <f>SUM('T2-4 A1 TTD LL Costs'!J225,'T2-4 A1 TTD LL Costs'!J248,'T5-7 TART TNTTMA FinancialPlan'!J134,'T5-7 TART TNTTMA FinancialPlan'!J180)</f>
        <v>8000</v>
      </c>
      <c r="J16" s="1034">
        <f>SUM('T2-4 A1 TTD LL Costs'!K225,'T2-4 A1 TTD LL Costs'!K248,'T5-7 TART TNTTMA FinancialPlan'!K134,'T5-7 TART TNTTMA FinancialPlan'!K180)</f>
        <v>273500</v>
      </c>
      <c r="K16" s="21"/>
      <c r="L16" s="1033">
        <f t="shared" ref="L16:L21" si="1">F16/$F$14</f>
        <v>2.0143589219337309E-2</v>
      </c>
      <c r="M16" s="1033">
        <f t="shared" si="0"/>
        <v>2.0131549216687031E-2</v>
      </c>
      <c r="N16" s="1033">
        <f t="shared" si="0"/>
        <v>1.0101045168254606E-2</v>
      </c>
      <c r="O16" s="1033">
        <f t="shared" si="0"/>
        <v>2.9546018773688061E-4</v>
      </c>
      <c r="P16" s="1033">
        <f t="shared" si="0"/>
        <v>1.0101045168254606E-2</v>
      </c>
      <c r="Q16" s="481"/>
    </row>
    <row r="17" spans="4:17" x14ac:dyDescent="0.3">
      <c r="D17" s="804"/>
      <c r="E17" s="94" t="s">
        <v>763</v>
      </c>
      <c r="F17" s="1034">
        <f>SUM('T2-4 A1 TTD LL Costs'!G226,'T2-4 A1 TTD LL Costs'!G249,'T5-7 TART TNTTMA FinancialPlan'!G135,'T5-7 TART TNTTMA FinancialPlan'!G181)</f>
        <v>9808072</v>
      </c>
      <c r="G17" s="1034">
        <f>SUM('T2-4 A1 TTD LL Costs'!H226,'T2-4 A1 TTD LL Costs'!H249,'T5-7 TART TNTTMA FinancialPlan'!H135,'T5-7 TART TNTTMA FinancialPlan'!H181)</f>
        <v>9969831</v>
      </c>
      <c r="H17" s="1034">
        <f>SUM('T2-4 A1 TTD LL Costs'!I226,'T2-4 A1 TTD LL Costs'!I249,'T5-7 TART TNTTMA FinancialPlan'!I135,'T5-7 TART TNTTMA FinancialPlan'!I181)</f>
        <v>10122150</v>
      </c>
      <c r="I17" s="1034">
        <f>SUM('T2-4 A1 TTD LL Costs'!J226,'T2-4 A1 TTD LL Costs'!J249,'T5-7 TART TNTTMA FinancialPlan'!J135,'T5-7 TART TNTTMA FinancialPlan'!J181)</f>
        <v>10415500</v>
      </c>
      <c r="J17" s="1034">
        <f>SUM('T2-4 A1 TTD LL Costs'!K226,'T2-4 A1 TTD LL Costs'!K249,'T5-7 TART TNTTMA FinancialPlan'!K135,'T5-7 TART TNTTMA FinancialPlan'!K181)</f>
        <v>10720400</v>
      </c>
      <c r="K17" s="21"/>
      <c r="L17" s="1033">
        <f t="shared" si="1"/>
        <v>0.36223684930710526</v>
      </c>
      <c r="M17" s="1033">
        <f t="shared" si="0"/>
        <v>0.36821101737062151</v>
      </c>
      <c r="N17" s="1033">
        <f t="shared" si="0"/>
        <v>0.37383654241260822</v>
      </c>
      <c r="O17" s="1033">
        <f t="shared" si="0"/>
        <v>0.38467069817168498</v>
      </c>
      <c r="P17" s="1033">
        <f t="shared" si="0"/>
        <v>0.39593142457680686</v>
      </c>
      <c r="Q17" s="481"/>
    </row>
    <row r="18" spans="4:17" x14ac:dyDescent="0.3">
      <c r="D18" s="804"/>
      <c r="E18" s="94" t="s">
        <v>543</v>
      </c>
      <c r="F18" s="1034">
        <f>SUM('T2-4 A1 TTD LL Costs'!G227,'T2-4 A1 TTD LL Costs'!G250,'T5-7 TART TNTTMA FinancialPlan'!G136,'T5-7 TART TNTTMA FinancialPlan'!G182)</f>
        <v>1575000</v>
      </c>
      <c r="G18" s="1034">
        <f>SUM('T2-4 A1 TTD LL Costs'!H227,'T2-4 A1 TTD LL Costs'!H250,'T5-7 TART TNTTMA FinancialPlan'!H136,'T5-7 TART TNTTMA FinancialPlan'!H182)</f>
        <v>0</v>
      </c>
      <c r="H18" s="1034">
        <f>SUM('T2-4 A1 TTD LL Costs'!I227,'T2-4 A1 TTD LL Costs'!I250,'T5-7 TART TNTTMA FinancialPlan'!I136,'T5-7 TART TNTTMA FinancialPlan'!I182)</f>
        <v>0</v>
      </c>
      <c r="I18" s="1034">
        <f>SUM('T2-4 A1 TTD LL Costs'!J227,'T2-4 A1 TTD LL Costs'!J250,'T5-7 TART TNTTMA FinancialPlan'!J136,'T5-7 TART TNTTMA FinancialPlan'!J182)</f>
        <v>0</v>
      </c>
      <c r="J18" s="1034">
        <f>SUM('T2-4 A1 TTD LL Costs'!K227,'T2-4 A1 TTD LL Costs'!K250,'T5-7 TART TNTTMA FinancialPlan'!K136,'T5-7 TART TNTTMA FinancialPlan'!K182)</f>
        <v>0</v>
      </c>
      <c r="K18" s="21"/>
      <c r="L18" s="1033">
        <f t="shared" si="1"/>
        <v>5.8168724460698366E-2</v>
      </c>
      <c r="M18" s="1033">
        <f t="shared" si="0"/>
        <v>0</v>
      </c>
      <c r="N18" s="1033">
        <f t="shared" si="0"/>
        <v>0</v>
      </c>
      <c r="O18" s="1033">
        <f t="shared" si="0"/>
        <v>0</v>
      </c>
      <c r="P18" s="1033">
        <f t="shared" si="0"/>
        <v>0</v>
      </c>
      <c r="Q18" s="481"/>
    </row>
    <row r="19" spans="4:17" x14ac:dyDescent="0.3">
      <c r="D19" s="804"/>
      <c r="E19" s="94" t="s">
        <v>547</v>
      </c>
      <c r="F19" s="1034">
        <f>SUM('T2-4 A1 TTD LL Costs'!G228,'T2-4 A1 TTD LL Costs'!G229,'T2-4 A1 TTD LL Costs'!G251,'T5-7 TART TNTTMA FinancialPlan'!G137,'T5-7 TART TNTTMA FinancialPlan'!G183)</f>
        <v>882905</v>
      </c>
      <c r="G19" s="1034">
        <f>SUM('T2-4 A1 TTD LL Costs'!H228,'T2-4 A1 TTD LL Costs'!H229,'T2-4 A1 TTD LL Costs'!H251,'T5-7 TART TNTTMA FinancialPlan'!H137,'T5-7 TART TNTTMA FinancialPlan'!H183)</f>
        <v>945578</v>
      </c>
      <c r="H19" s="1034">
        <f>SUM('T2-4 A1 TTD LL Costs'!I228,'T2-4 A1 TTD LL Costs'!I229,'T2-4 A1 TTD LL Costs'!I251,'T5-7 TART TNTTMA FinancialPlan'!I137,'T5-7 TART TNTTMA FinancialPlan'!I183)</f>
        <v>936900</v>
      </c>
      <c r="I19" s="1034">
        <f>SUM('T2-4 A1 TTD LL Costs'!J228,'T2-4 A1 TTD LL Costs'!J229,'T2-4 A1 TTD LL Costs'!J251,'T5-7 TART TNTTMA FinancialPlan'!J137,'T5-7 TART TNTTMA FinancialPlan'!J183)</f>
        <v>936900</v>
      </c>
      <c r="J19" s="1034">
        <f>SUM('T2-4 A1 TTD LL Costs'!K228,'T2-4 A1 TTD LL Costs'!K229,'T2-4 A1 TTD LL Costs'!K251,'T5-7 TART TNTTMA FinancialPlan'!K137,'T5-7 TART TNTTMA FinancialPlan'!K183)</f>
        <v>936900</v>
      </c>
      <c r="K19" s="21"/>
      <c r="L19" s="1033">
        <f t="shared" si="1"/>
        <v>3.2607909631728819E-2</v>
      </c>
      <c r="M19" s="1033">
        <f t="shared" si="0"/>
        <v>3.4922581674983008E-2</v>
      </c>
      <c r="N19" s="1033">
        <f t="shared" si="0"/>
        <v>3.460208123633543E-2</v>
      </c>
      <c r="O19" s="1033">
        <f t="shared" si="0"/>
        <v>3.460208123633543E-2</v>
      </c>
      <c r="P19" s="1033">
        <f t="shared" si="0"/>
        <v>3.460208123633543E-2</v>
      </c>
      <c r="Q19" s="481"/>
    </row>
    <row r="20" spans="4:17" x14ac:dyDescent="0.3">
      <c r="D20" s="804"/>
      <c r="E20" s="94" t="s">
        <v>741</v>
      </c>
      <c r="F20" s="1034">
        <f>SUM('T2-4 A1 TTD LL Costs'!G252,'T5-7 TART TNTTMA FinancialPlan'!G138,'T5-7 TART TNTTMA FinancialPlan'!G184)</f>
        <v>449156</v>
      </c>
      <c r="G20" s="1034">
        <f>SUM('T2-4 A1 TTD LL Costs'!H252,'T5-7 TART TNTTMA FinancialPlan'!H138,'T5-7 TART TNTTMA FinancialPlan'!H184)</f>
        <v>395700</v>
      </c>
      <c r="H20" s="1034">
        <f>SUM('T2-4 A1 TTD LL Costs'!I252,'T5-7 TART TNTTMA FinancialPlan'!I138,'T5-7 TART TNTTMA FinancialPlan'!I184)</f>
        <v>395700</v>
      </c>
      <c r="I20" s="1034">
        <f>SUM('T2-4 A1 TTD LL Costs'!J252,'T5-7 TART TNTTMA FinancialPlan'!J138,'T5-7 TART TNTTMA FinancialPlan'!J184)</f>
        <v>395700</v>
      </c>
      <c r="J20" s="1034">
        <f>SUM('T2-4 A1 TTD LL Costs'!K252,'T5-7 TART TNTTMA FinancialPlan'!K138,'T5-7 TART TNTTMA FinancialPlan'!K184)</f>
        <v>395700</v>
      </c>
      <c r="K20" s="21"/>
      <c r="L20" s="1033">
        <f t="shared" si="1"/>
        <v>1.6588464510393291E-2</v>
      </c>
      <c r="M20" s="1033">
        <f t="shared" si="0"/>
        <v>1.4614199535935455E-2</v>
      </c>
      <c r="N20" s="1033">
        <f t="shared" si="0"/>
        <v>1.4614199535935455E-2</v>
      </c>
      <c r="O20" s="1033">
        <f t="shared" si="0"/>
        <v>1.4614199535935455E-2</v>
      </c>
      <c r="P20" s="1033">
        <f t="shared" si="0"/>
        <v>1.4614199535935455E-2</v>
      </c>
      <c r="Q20" s="481"/>
    </row>
    <row r="21" spans="4:17" x14ac:dyDescent="0.3">
      <c r="D21" s="806"/>
      <c r="E21" s="802" t="s">
        <v>764</v>
      </c>
      <c r="F21" s="1232">
        <f>SUM('T5-7 TART TNTTMA FinancialPlan'!G185)</f>
        <v>325359</v>
      </c>
      <c r="G21" s="1232">
        <f>SUM('T5-7 TART TNTTMA FinancialPlan'!H185)</f>
        <v>325400</v>
      </c>
      <c r="H21" s="1232">
        <f>SUM('T5-7 TART TNTTMA FinancialPlan'!I185)</f>
        <v>325400</v>
      </c>
      <c r="I21" s="1232">
        <f>SUM('T5-7 TART TNTTMA FinancialPlan'!J185)</f>
        <v>325400</v>
      </c>
      <c r="J21" s="1232">
        <f>SUM('T5-7 TART TNTTMA FinancialPlan'!K185)</f>
        <v>325400</v>
      </c>
      <c r="K21" s="807"/>
      <c r="L21" s="1033">
        <f t="shared" si="1"/>
        <v>1.2016328902735466E-2</v>
      </c>
      <c r="M21" s="1033">
        <f t="shared" si="0"/>
        <v>1.2017843136197618E-2</v>
      </c>
      <c r="N21" s="1033">
        <f t="shared" si="0"/>
        <v>1.2017843136197618E-2</v>
      </c>
      <c r="O21" s="1033">
        <f t="shared" si="0"/>
        <v>1.2017843136197618E-2</v>
      </c>
      <c r="P21" s="1033">
        <f t="shared" si="0"/>
        <v>1.2017843136197618E-2</v>
      </c>
      <c r="Q21" s="481"/>
    </row>
    <row r="22" spans="4:17" ht="6" customHeight="1" x14ac:dyDescent="0.3">
      <c r="D22" s="804"/>
      <c r="E22" s="94"/>
      <c r="F22" s="1034"/>
      <c r="G22" s="1034"/>
      <c r="H22" s="1034"/>
      <c r="I22" s="1034"/>
      <c r="J22" s="1034"/>
      <c r="K22" s="21"/>
      <c r="L22" s="1033"/>
      <c r="M22" s="1033"/>
      <c r="N22" s="1033"/>
      <c r="O22" s="1033"/>
      <c r="P22" s="1033"/>
      <c r="Q22" s="481"/>
    </row>
    <row r="23" spans="4:17" x14ac:dyDescent="0.3">
      <c r="D23" s="804"/>
      <c r="E23" s="1042" t="s">
        <v>824</v>
      </c>
      <c r="F23" s="1227">
        <f>F14-F11</f>
        <v>3968135.4968718588</v>
      </c>
      <c r="G23" s="1227">
        <f t="shared" ref="G23:J23" si="2">G14-G11</f>
        <v>583793.19674673304</v>
      </c>
      <c r="H23" s="1227">
        <f t="shared" si="2"/>
        <v>34443.324616603553</v>
      </c>
      <c r="I23" s="1227">
        <f t="shared" si="2"/>
        <v>-897579.56931713223</v>
      </c>
      <c r="J23" s="1227">
        <f t="shared" si="2"/>
        <v>-1330674.0371547826</v>
      </c>
      <c r="K23" s="21"/>
      <c r="N23" s="362"/>
      <c r="O23" s="362"/>
      <c r="P23" s="481"/>
      <c r="Q23" s="481"/>
    </row>
    <row r="24" spans="4:17" x14ac:dyDescent="0.3">
      <c r="D24" s="804"/>
      <c r="E24" s="1042" t="s">
        <v>823</v>
      </c>
      <c r="F24" s="1227">
        <f>F14-F12</f>
        <v>3477235.4968718588</v>
      </c>
      <c r="G24" s="1227">
        <f t="shared" ref="G24:J24" si="3">G14-G12</f>
        <v>-1465706.803253267</v>
      </c>
      <c r="H24" s="1227">
        <f t="shared" si="3"/>
        <v>-2627056.6753833964</v>
      </c>
      <c r="I24" s="1227">
        <f t="shared" si="3"/>
        <v>-3660979.5693171322</v>
      </c>
      <c r="J24" s="1227">
        <f t="shared" si="3"/>
        <v>-4425474.0371547826</v>
      </c>
      <c r="K24" s="21"/>
      <c r="L24" s="278">
        <f>SUM(L16,L18,L19,L20,L21)</f>
        <v>0.13952501672489323</v>
      </c>
      <c r="M24" s="278">
        <f>SUM(M16,M18,M19,M20,M21)</f>
        <v>8.1686173563803116E-2</v>
      </c>
      <c r="N24" s="362"/>
      <c r="O24" s="362"/>
      <c r="P24" s="481"/>
      <c r="Q24" s="481"/>
    </row>
    <row r="25" spans="4:17" ht="7.5" customHeight="1" x14ac:dyDescent="0.3">
      <c r="D25" s="804"/>
      <c r="E25" s="94"/>
      <c r="F25" s="94"/>
      <c r="G25" s="94"/>
      <c r="H25" s="94"/>
      <c r="I25" s="94"/>
      <c r="J25" s="94"/>
      <c r="K25" s="21"/>
      <c r="N25" s="362"/>
      <c r="O25" s="362"/>
      <c r="P25" s="481"/>
      <c r="Q25" s="481"/>
    </row>
    <row r="26" spans="4:17" ht="6.75" customHeight="1" x14ac:dyDescent="0.3">
      <c r="D26" s="1113"/>
      <c r="E26" s="1116"/>
      <c r="F26" s="1116"/>
      <c r="G26" s="1116"/>
      <c r="H26" s="1116"/>
      <c r="I26" s="1114"/>
      <c r="J26" s="1114"/>
      <c r="K26" s="1115"/>
      <c r="N26" s="362"/>
      <c r="O26" s="362"/>
      <c r="P26" s="481"/>
      <c r="Q26" s="481"/>
    </row>
    <row r="27" spans="4:17" s="94" customFormat="1" ht="3.75" customHeight="1" x14ac:dyDescent="0.3">
      <c r="D27" s="804"/>
      <c r="E27" s="82"/>
      <c r="F27" s="82"/>
      <c r="G27" s="82"/>
      <c r="H27" s="82"/>
      <c r="K27" s="21"/>
      <c r="N27" s="485"/>
      <c r="O27" s="485"/>
      <c r="P27" s="486"/>
      <c r="Q27" s="486"/>
    </row>
    <row r="28" spans="4:17" ht="4.2" customHeight="1" thickBot="1" x14ac:dyDescent="0.35">
      <c r="D28" s="810"/>
      <c r="E28" s="1120"/>
      <c r="F28" s="1120"/>
      <c r="G28" s="1120"/>
      <c r="H28" s="1120"/>
      <c r="I28" s="811"/>
      <c r="J28" s="811"/>
      <c r="K28" s="812"/>
      <c r="N28" s="362"/>
      <c r="O28" s="362"/>
      <c r="P28" s="481"/>
      <c r="Q28" s="481"/>
    </row>
    <row r="29" spans="4:17" x14ac:dyDescent="0.3">
      <c r="N29" s="362"/>
      <c r="O29" s="362"/>
      <c r="P29" s="481"/>
      <c r="Q29" s="481"/>
    </row>
    <row r="30" spans="4:17" x14ac:dyDescent="0.3">
      <c r="E30" t="s">
        <v>791</v>
      </c>
      <c r="N30" s="362"/>
      <c r="O30" s="362"/>
      <c r="P30" s="481"/>
      <c r="Q30" s="481"/>
    </row>
    <row r="31" spans="4:17" x14ac:dyDescent="0.3">
      <c r="E31" t="s">
        <v>790</v>
      </c>
    </row>
    <row r="32" spans="4:17" x14ac:dyDescent="0.3">
      <c r="M32" t="s">
        <v>789</v>
      </c>
    </row>
    <row r="41" spans="6:7" x14ac:dyDescent="0.3">
      <c r="F41">
        <v>1</v>
      </c>
      <c r="G41" t="s">
        <v>847</v>
      </c>
    </row>
    <row r="42" spans="6:7" x14ac:dyDescent="0.3">
      <c r="F42" s="1335">
        <f>F41/0.4</f>
        <v>2.5</v>
      </c>
      <c r="G42">
        <v>5311</v>
      </c>
    </row>
    <row r="45" spans="6:7" x14ac:dyDescent="0.3">
      <c r="G45" t="s">
        <v>848</v>
      </c>
    </row>
    <row r="51" spans="5:5" x14ac:dyDescent="0.3">
      <c r="E51" t="s">
        <v>243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8372F-46E9-43BB-A376-2EF19A592A09}">
  <sheetPr>
    <tabColor rgb="FFFFC000"/>
  </sheetPr>
  <dimension ref="D4:F6"/>
  <sheetViews>
    <sheetView workbookViewId="0">
      <selection activeCell="H12" sqref="H12"/>
    </sheetView>
  </sheetViews>
  <sheetFormatPr defaultRowHeight="14.4" x14ac:dyDescent="0.3"/>
  <sheetData>
    <row r="4" spans="4:6" x14ac:dyDescent="0.3">
      <c r="D4" t="s">
        <v>795</v>
      </c>
      <c r="E4" t="s">
        <v>212</v>
      </c>
      <c r="F4" t="s">
        <v>796</v>
      </c>
    </row>
    <row r="6" spans="4:6" x14ac:dyDescent="0.3">
      <c r="E6" t="s">
        <v>801</v>
      </c>
      <c r="F6" t="s">
        <v>802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DB4F3-F6E5-4DC7-85A9-E89118A88C59}">
  <sheetPr>
    <tabColor rgb="FFFFC000"/>
    <pageSetUpPr fitToPage="1"/>
  </sheetPr>
  <dimension ref="A1:AA263"/>
  <sheetViews>
    <sheetView showGridLines="0" zoomScale="84" zoomScaleNormal="84" workbookViewId="0">
      <selection activeCell="D217" sqref="D217:L236"/>
    </sheetView>
  </sheetViews>
  <sheetFormatPr defaultRowHeight="14.4" x14ac:dyDescent="0.3"/>
  <cols>
    <col min="2" max="2" width="33" customWidth="1"/>
    <col min="3" max="4" width="2.77734375" customWidth="1"/>
    <col min="5" max="5" width="50.5546875" customWidth="1"/>
    <col min="6" max="6" width="14.109375" hidden="1" customWidth="1"/>
    <col min="7" max="11" width="15.77734375" customWidth="1"/>
    <col min="12" max="12" width="2.77734375" customWidth="1"/>
    <col min="13" max="13" width="13" customWidth="1"/>
    <col min="14" max="14" width="2.21875" customWidth="1"/>
    <col min="15" max="15" width="7.44140625" style="362" customWidth="1"/>
    <col min="16" max="16" width="23.21875" style="362" customWidth="1"/>
    <col min="17" max="17" width="54" style="481" customWidth="1"/>
    <col min="18" max="18" width="14.88671875" style="481" customWidth="1"/>
    <col min="25" max="26" width="12.109375" bestFit="1" customWidth="1"/>
  </cols>
  <sheetData>
    <row r="1" spans="1:18" ht="15" thickBot="1" x14ac:dyDescent="0.35">
      <c r="G1" t="s">
        <v>210</v>
      </c>
      <c r="H1" t="s">
        <v>227</v>
      </c>
      <c r="I1" t="s">
        <v>228</v>
      </c>
      <c r="J1" t="s">
        <v>229</v>
      </c>
      <c r="K1" t="s">
        <v>230</v>
      </c>
      <c r="O1" s="930">
        <v>1.04</v>
      </c>
      <c r="P1" s="931" t="s">
        <v>231</v>
      </c>
    </row>
    <row r="2" spans="1:18" x14ac:dyDescent="0.3">
      <c r="A2" t="s">
        <v>148</v>
      </c>
      <c r="B2" s="705" t="s">
        <v>232</v>
      </c>
      <c r="E2" s="709" t="s">
        <v>233</v>
      </c>
      <c r="F2" s="710"/>
      <c r="G2" s="711">
        <f>'VRH Rates'!D7</f>
        <v>123.17</v>
      </c>
      <c r="H2" s="711">
        <f>G2*$O$1</f>
        <v>128.0968</v>
      </c>
      <c r="I2" s="711">
        <f>H2*$O$1</f>
        <v>133.22067200000001</v>
      </c>
      <c r="J2" s="711">
        <f>I2*$O$1</f>
        <v>138.54949888000002</v>
      </c>
      <c r="K2" s="712">
        <f>J2*$O$1</f>
        <v>144.09147883520001</v>
      </c>
      <c r="M2" s="467"/>
      <c r="N2" s="467"/>
      <c r="O2" s="932">
        <v>1.01</v>
      </c>
      <c r="P2" s="932" t="s">
        <v>340</v>
      </c>
    </row>
    <row r="3" spans="1:18" x14ac:dyDescent="0.3">
      <c r="B3" s="706">
        <f>'Operating Stats'!F43</f>
        <v>35679.5</v>
      </c>
      <c r="E3" s="713" t="s">
        <v>234</v>
      </c>
      <c r="F3" s="714"/>
      <c r="G3" s="715">
        <f>'VRH Rates'!E7</f>
        <v>1.6</v>
      </c>
      <c r="H3" s="715">
        <f>G3*$O$1</f>
        <v>1.6640000000000001</v>
      </c>
      <c r="I3" s="715">
        <f>H3*$O$1</f>
        <v>1.7305600000000003</v>
      </c>
      <c r="J3" s="715">
        <f>I3*1.1</f>
        <v>1.9036160000000004</v>
      </c>
      <c r="K3" s="716">
        <f>J3*1.03</f>
        <v>1.9607244800000005</v>
      </c>
    </row>
    <row r="4" spans="1:18" x14ac:dyDescent="0.3">
      <c r="B4" s="706"/>
      <c r="G4" s="467"/>
      <c r="H4" s="467"/>
      <c r="I4" s="467"/>
      <c r="J4" s="467"/>
      <c r="K4" s="467"/>
    </row>
    <row r="5" spans="1:18" x14ac:dyDescent="0.3">
      <c r="B5" s="707" t="s">
        <v>235</v>
      </c>
    </row>
    <row r="6" spans="1:18" x14ac:dyDescent="0.3">
      <c r="B6" s="708">
        <f>'Operating Stats'!G43</f>
        <v>534843</v>
      </c>
      <c r="Q6" s="483"/>
    </row>
    <row r="7" spans="1:18" x14ac:dyDescent="0.3">
      <c r="A7" t="s">
        <v>212</v>
      </c>
      <c r="B7" s="725" t="s">
        <v>285</v>
      </c>
      <c r="E7" s="717" t="s">
        <v>233</v>
      </c>
      <c r="F7" s="718"/>
      <c r="G7" s="719">
        <f>'VRH Rates'!D9</f>
        <v>65.23</v>
      </c>
      <c r="H7" s="719">
        <f>G7*$O$1</f>
        <v>67.839200000000005</v>
      </c>
      <c r="I7" s="719">
        <f>H7*$O$1</f>
        <v>70.552768000000015</v>
      </c>
      <c r="J7" s="719">
        <f>I7*$O$1</f>
        <v>73.374878720000012</v>
      </c>
      <c r="K7" s="720">
        <f>J7*$O$1</f>
        <v>76.309873868800011</v>
      </c>
      <c r="Q7" s="483"/>
    </row>
    <row r="8" spans="1:18" x14ac:dyDescent="0.3">
      <c r="B8" s="726">
        <f>'Operating Stats'!F44</f>
        <v>47002</v>
      </c>
      <c r="E8" s="721" t="s">
        <v>234</v>
      </c>
      <c r="F8" s="722"/>
      <c r="G8" s="723">
        <v>0</v>
      </c>
      <c r="H8" s="723">
        <f>G8*$O$1</f>
        <v>0</v>
      </c>
      <c r="I8" s="723">
        <f>H8*$O$1</f>
        <v>0</v>
      </c>
      <c r="J8" s="723">
        <f>I8*1.1</f>
        <v>0</v>
      </c>
      <c r="K8" s="724">
        <f>J8*1.03</f>
        <v>0</v>
      </c>
      <c r="Q8" s="483"/>
    </row>
    <row r="9" spans="1:18" x14ac:dyDescent="0.3">
      <c r="B9" s="727" t="s">
        <v>286</v>
      </c>
      <c r="C9" s="94"/>
      <c r="D9" s="94"/>
      <c r="E9" s="94"/>
      <c r="F9" s="94"/>
      <c r="G9" s="94"/>
      <c r="H9" s="482"/>
      <c r="I9" s="482"/>
      <c r="J9" s="482"/>
      <c r="K9" s="482"/>
      <c r="L9" s="261"/>
      <c r="M9" s="94"/>
      <c r="N9" s="94"/>
      <c r="O9" s="485"/>
      <c r="P9" s="485"/>
      <c r="Q9" s="486"/>
    </row>
    <row r="10" spans="1:18" ht="23.25" customHeight="1" x14ac:dyDescent="0.3">
      <c r="B10" s="728">
        <f>'Operating Stats'!G15</f>
        <v>366322</v>
      </c>
      <c r="C10" s="94"/>
      <c r="D10" s="94"/>
      <c r="E10" t="s">
        <v>236</v>
      </c>
      <c r="G10" s="687">
        <v>2.5000000000000001E-4</v>
      </c>
      <c r="H10" s="687">
        <v>2.5000000000000001E-4</v>
      </c>
      <c r="I10" s="687">
        <v>2.5000000000000001E-4</v>
      </c>
      <c r="J10" s="687">
        <v>2.5000000000000001E-4</v>
      </c>
      <c r="K10" s="687">
        <v>2.5000000000000001E-4</v>
      </c>
      <c r="M10" t="s">
        <v>249</v>
      </c>
      <c r="N10" s="94"/>
      <c r="O10" s="485"/>
      <c r="P10" s="485"/>
      <c r="Q10" s="486"/>
    </row>
    <row r="11" spans="1:18" ht="10.5" customHeight="1" thickBot="1" x14ac:dyDescent="0.35">
      <c r="B11" s="496"/>
      <c r="C11" s="94"/>
      <c r="D11" s="94"/>
      <c r="E11" s="94"/>
      <c r="F11" s="94"/>
      <c r="G11" s="94"/>
      <c r="H11" s="482"/>
      <c r="I11" s="482"/>
      <c r="J11" s="482"/>
      <c r="K11" s="482"/>
      <c r="L11" s="261"/>
      <c r="M11" s="94"/>
      <c r="N11" s="94"/>
      <c r="O11" s="485"/>
      <c r="P11" s="485"/>
      <c r="Q11" s="486"/>
    </row>
    <row r="12" spans="1:18" ht="19.5" customHeight="1" x14ac:dyDescent="0.3">
      <c r="B12" s="500"/>
      <c r="C12" s="487"/>
      <c r="D12" s="488"/>
      <c r="E12" s="488"/>
      <c r="F12" s="488"/>
      <c r="G12" s="488"/>
      <c r="H12" s="488"/>
      <c r="I12" s="488"/>
      <c r="J12" s="488"/>
      <c r="K12" s="488"/>
      <c r="L12" s="489"/>
      <c r="M12" s="490"/>
      <c r="N12" s="490"/>
      <c r="O12" s="491"/>
      <c r="P12" s="491"/>
      <c r="Q12" s="492"/>
    </row>
    <row r="13" spans="1:18" ht="24.6" x14ac:dyDescent="0.4">
      <c r="B13" s="500"/>
      <c r="C13" s="493"/>
      <c r="D13" s="1362" t="s">
        <v>851</v>
      </c>
      <c r="E13" s="1362"/>
      <c r="F13" s="1362"/>
      <c r="G13" s="1362"/>
      <c r="H13" s="1362"/>
      <c r="I13" s="1362"/>
      <c r="J13" s="1362"/>
      <c r="K13" s="1362"/>
      <c r="L13" s="494"/>
      <c r="M13" s="490"/>
      <c r="N13" s="490"/>
      <c r="O13" s="491"/>
      <c r="P13" s="491"/>
      <c r="Q13" s="492"/>
      <c r="R13" s="495"/>
    </row>
    <row r="14" spans="1:18" x14ac:dyDescent="0.3">
      <c r="B14" s="500"/>
      <c r="C14" s="493"/>
      <c r="D14" s="497"/>
      <c r="E14" s="498"/>
      <c r="F14" s="498"/>
      <c r="G14" s="497"/>
      <c r="H14" s="497"/>
      <c r="I14" s="497"/>
      <c r="J14" s="497"/>
      <c r="K14" s="497"/>
      <c r="L14" s="499"/>
      <c r="M14" s="490"/>
      <c r="N14" s="490"/>
      <c r="O14" s="491"/>
      <c r="P14" s="491"/>
      <c r="Q14" s="492"/>
      <c r="R14" s="495"/>
    </row>
    <row r="15" spans="1:18" ht="21" customHeight="1" x14ac:dyDescent="0.3">
      <c r="B15" s="500"/>
      <c r="C15" s="501"/>
      <c r="D15" s="502"/>
      <c r="E15" s="503"/>
      <c r="F15" s="503"/>
      <c r="G15" s="505" t="s">
        <v>210</v>
      </c>
      <c r="H15" s="505" t="s">
        <v>227</v>
      </c>
      <c r="I15" s="505" t="s">
        <v>228</v>
      </c>
      <c r="J15" s="505" t="s">
        <v>229</v>
      </c>
      <c r="K15" s="505" t="s">
        <v>230</v>
      </c>
      <c r="L15" s="506"/>
      <c r="M15" s="507"/>
      <c r="N15" s="507"/>
      <c r="O15" s="508"/>
      <c r="P15" s="508"/>
      <c r="Q15" s="486"/>
      <c r="R15" s="495"/>
    </row>
    <row r="16" spans="1:18" ht="9" customHeight="1" x14ac:dyDescent="0.3">
      <c r="B16" s="94"/>
      <c r="C16" s="509"/>
      <c r="D16" s="492"/>
      <c r="E16" s="492"/>
      <c r="F16" s="492"/>
      <c r="G16" s="510"/>
      <c r="H16" s="510"/>
      <c r="I16" s="510"/>
      <c r="J16" s="510"/>
      <c r="K16" s="510"/>
      <c r="L16" s="511"/>
      <c r="M16" s="512"/>
      <c r="N16" s="512"/>
      <c r="O16" s="513"/>
      <c r="P16" s="513"/>
      <c r="Q16" s="492"/>
    </row>
    <row r="17" spans="2:26" ht="21" customHeight="1" x14ac:dyDescent="0.3">
      <c r="B17" s="94" t="s">
        <v>243</v>
      </c>
      <c r="C17" s="514"/>
      <c r="D17" s="515" t="s">
        <v>268</v>
      </c>
      <c r="E17" s="516"/>
      <c r="F17" s="516"/>
      <c r="G17" s="517"/>
      <c r="H17" s="517"/>
      <c r="I17" s="517"/>
      <c r="J17" s="517"/>
      <c r="K17" s="517"/>
      <c r="L17" s="518"/>
      <c r="O17" s="485"/>
      <c r="P17" s="485"/>
      <c r="Q17" s="486"/>
    </row>
    <row r="18" spans="2:26" ht="20.100000000000001" customHeight="1" x14ac:dyDescent="0.3">
      <c r="B18" s="94"/>
      <c r="C18" s="514"/>
      <c r="D18" s="516"/>
      <c r="E18" s="833" t="s">
        <v>238</v>
      </c>
      <c r="F18" s="834"/>
      <c r="G18" s="835">
        <f>($B$3*G2)+($B$6*G3)</f>
        <v>5250392.8149999995</v>
      </c>
      <c r="H18" s="835">
        <f>($B$3*H2)+($B$6*H3)</f>
        <v>5460408.5276000006</v>
      </c>
      <c r="I18" s="835">
        <f>($B$3*I2)+($B$6*I3)</f>
        <v>5678824.8687040005</v>
      </c>
      <c r="J18" s="835">
        <f>($B$3*J2)+($B$6*J3)</f>
        <v>5961512.5375769604</v>
      </c>
      <c r="K18" s="836">
        <f>($B$3*K2)+($B$6*K3)</f>
        <v>6189791.6821571589</v>
      </c>
      <c r="L18" s="740"/>
      <c r="M18" s="520"/>
      <c r="N18" s="520"/>
      <c r="O18" s="521"/>
      <c r="P18" s="521"/>
    </row>
    <row r="19" spans="2:26" ht="20.100000000000001" customHeight="1" x14ac:dyDescent="0.3">
      <c r="B19" s="94"/>
      <c r="C19" s="514"/>
      <c r="D19" s="516"/>
      <c r="E19" s="833" t="s">
        <v>240</v>
      </c>
      <c r="F19" s="834"/>
      <c r="G19" s="835">
        <f>'VRH Rates'!F7</f>
        <v>2077415.1711924581</v>
      </c>
      <c r="H19" s="835">
        <f>G19*$O$1</f>
        <v>2160511.7780401567</v>
      </c>
      <c r="I19" s="835">
        <f>H19*$O$1</f>
        <v>2246932.2491617631</v>
      </c>
      <c r="J19" s="835">
        <f>I19*$O$1</f>
        <v>2336809.5391282337</v>
      </c>
      <c r="K19" s="835">
        <f>J19*$O$1</f>
        <v>2430281.9206933631</v>
      </c>
      <c r="L19" s="740"/>
      <c r="M19" s="520"/>
      <c r="N19" s="520"/>
      <c r="O19" s="521"/>
      <c r="P19" s="521"/>
    </row>
    <row r="20" spans="2:26" ht="20.100000000000001" customHeight="1" x14ac:dyDescent="0.3">
      <c r="B20" s="94"/>
      <c r="C20" s="514"/>
      <c r="D20" s="516"/>
      <c r="E20" s="833" t="s">
        <v>350</v>
      </c>
      <c r="F20" s="834"/>
      <c r="G20" s="835">
        <v>517288</v>
      </c>
      <c r="H20" s="835">
        <v>523384</v>
      </c>
      <c r="I20" s="835">
        <v>0</v>
      </c>
      <c r="J20" s="835">
        <v>0</v>
      </c>
      <c r="K20" s="835">
        <v>0</v>
      </c>
      <c r="L20" s="740"/>
      <c r="M20" s="955">
        <f>H20/G20-1</f>
        <v>1.1784537820324514E-2</v>
      </c>
      <c r="N20" s="520"/>
      <c r="O20" s="521"/>
      <c r="P20" s="521"/>
    </row>
    <row r="21" spans="2:26" ht="20.100000000000001" customHeight="1" x14ac:dyDescent="0.3">
      <c r="B21" s="94"/>
      <c r="C21" s="514"/>
      <c r="D21" s="516"/>
      <c r="E21" s="837" t="s">
        <v>92</v>
      </c>
      <c r="F21" s="834"/>
      <c r="G21" s="838">
        <f>SUM(G18:G20)</f>
        <v>7845095.9861924574</v>
      </c>
      <c r="H21" s="838">
        <f>SUM(H18:H20)</f>
        <v>8144304.3056401573</v>
      </c>
      <c r="I21" s="838">
        <f>SUM(I18:I19)</f>
        <v>7925757.1178657636</v>
      </c>
      <c r="J21" s="838">
        <f>SUM(J18:J19)</f>
        <v>8298322.0767051941</v>
      </c>
      <c r="K21" s="838">
        <f>SUM(K18:K19)</f>
        <v>8620073.6028505228</v>
      </c>
      <c r="L21" s="740"/>
      <c r="M21" s="520"/>
      <c r="N21" s="520"/>
      <c r="O21" s="521"/>
      <c r="P21" s="521"/>
    </row>
    <row r="22" spans="2:26" ht="7.5" customHeight="1" x14ac:dyDescent="0.3">
      <c r="B22" s="94"/>
      <c r="C22" s="514"/>
      <c r="D22" s="516"/>
      <c r="E22" s="698"/>
      <c r="F22" s="699"/>
      <c r="G22" s="585"/>
      <c r="H22" s="585"/>
      <c r="I22" s="585"/>
      <c r="J22" s="585"/>
      <c r="K22" s="585"/>
      <c r="L22" s="527"/>
      <c r="M22" s="520"/>
      <c r="N22" s="520"/>
      <c r="O22" s="521"/>
      <c r="P22" s="521"/>
      <c r="Q22" s="701"/>
      <c r="R22" s="702"/>
      <c r="S22" s="702"/>
      <c r="T22" s="702"/>
      <c r="U22" s="702"/>
      <c r="V22" s="702"/>
    </row>
    <row r="23" spans="2:26" ht="21.75" customHeight="1" x14ac:dyDescent="0.3">
      <c r="B23" s="94"/>
      <c r="C23" s="514"/>
      <c r="D23" s="700" t="s">
        <v>312</v>
      </c>
      <c r="E23" s="698"/>
      <c r="F23" s="699"/>
      <c r="G23" s="585"/>
      <c r="H23" s="585"/>
      <c r="I23" s="585"/>
      <c r="J23" s="585"/>
      <c r="K23" s="585"/>
      <c r="L23" s="527"/>
      <c r="M23" s="520"/>
      <c r="N23" s="520"/>
      <c r="O23" s="521"/>
      <c r="P23" s="521"/>
      <c r="Q23" s="701"/>
      <c r="R23" s="702"/>
      <c r="S23" s="702"/>
      <c r="T23" s="702"/>
      <c r="U23" s="702"/>
      <c r="V23" s="702"/>
    </row>
    <row r="24" spans="2:26" ht="20.100000000000001" customHeight="1" x14ac:dyDescent="0.3">
      <c r="B24" s="94"/>
      <c r="C24" s="514"/>
      <c r="D24" s="516"/>
      <c r="E24" s="839" t="s">
        <v>238</v>
      </c>
      <c r="F24" s="840"/>
      <c r="G24" s="841">
        <f>($B$8*G7)+($B$10*G8)</f>
        <v>3065940.46</v>
      </c>
      <c r="H24" s="841">
        <f>($B$8*H7)+($B$10*H8)</f>
        <v>3188578.0784000005</v>
      </c>
      <c r="I24" s="841">
        <f>($B$8*I7)+($B$10*I8)</f>
        <v>3316121.2015360007</v>
      </c>
      <c r="J24" s="841">
        <f>($B$8*J7)+($B$10*J8)</f>
        <v>3448766.0495974408</v>
      </c>
      <c r="K24" s="841">
        <f>($B$8*K7)+($B$10*K8)</f>
        <v>3586716.6915813382</v>
      </c>
      <c r="L24" s="736"/>
      <c r="M24" s="520"/>
      <c r="N24" s="520"/>
      <c r="O24" s="521"/>
      <c r="P24" s="521"/>
      <c r="Q24" s="701"/>
      <c r="R24" s="702"/>
      <c r="S24" s="702"/>
      <c r="T24" s="702"/>
      <c r="U24" s="702"/>
      <c r="V24" s="702"/>
    </row>
    <row r="25" spans="2:26" ht="20.100000000000001" customHeight="1" thickBot="1" x14ac:dyDescent="0.35">
      <c r="B25" s="94"/>
      <c r="C25" s="514"/>
      <c r="D25" s="516"/>
      <c r="E25" s="839" t="s">
        <v>240</v>
      </c>
      <c r="F25" s="840"/>
      <c r="G25" s="841">
        <f>'VRH Rates'!F9+'VRH Rates'!G9+'VRH Rates'!H9</f>
        <v>162900</v>
      </c>
      <c r="H25" s="841">
        <f>G25*$O$1</f>
        <v>169416</v>
      </c>
      <c r="I25" s="841">
        <f>H25*$O$1</f>
        <v>176192.64000000001</v>
      </c>
      <c r="J25" s="841">
        <f>I25*$O$1</f>
        <v>183240.34560000003</v>
      </c>
      <c r="K25" s="841">
        <f>J25*$O$1</f>
        <v>190569.95942400003</v>
      </c>
      <c r="L25" s="736"/>
      <c r="M25" s="520"/>
      <c r="N25" s="520"/>
      <c r="O25" s="521"/>
      <c r="P25" s="521"/>
      <c r="Q25" s="701" t="s">
        <v>347</v>
      </c>
      <c r="R25" s="1053">
        <v>0</v>
      </c>
      <c r="S25" s="1053">
        <v>1.04</v>
      </c>
      <c r="T25" s="1053">
        <v>1.08</v>
      </c>
      <c r="U25" s="1053">
        <v>1.1200000000000001</v>
      </c>
      <c r="V25" s="1053">
        <v>1.1599999999999999</v>
      </c>
    </row>
    <row r="26" spans="2:26" ht="20.100000000000001" customHeight="1" x14ac:dyDescent="0.3">
      <c r="B26" s="94"/>
      <c r="C26" s="514"/>
      <c r="D26" s="516"/>
      <c r="E26" s="842" t="s">
        <v>92</v>
      </c>
      <c r="F26" s="840"/>
      <c r="G26" s="843">
        <f>SUM(G24:G25)</f>
        <v>3228840.46</v>
      </c>
      <c r="H26" s="843">
        <f>SUM(H24:H25)</f>
        <v>3357994.0784000005</v>
      </c>
      <c r="I26" s="843">
        <f>SUM(I24:I25)</f>
        <v>3492313.8415360008</v>
      </c>
      <c r="J26" s="843">
        <f>SUM(J24:J25)</f>
        <v>3632006.3951974409</v>
      </c>
      <c r="K26" s="843">
        <f>SUM(K24:K25)</f>
        <v>3777286.6510053384</v>
      </c>
      <c r="L26" s="736"/>
      <c r="M26" s="520"/>
      <c r="N26" s="520"/>
      <c r="O26" s="521"/>
      <c r="P26" s="521"/>
      <c r="Q26" s="522" t="s">
        <v>239</v>
      </c>
      <c r="R26" s="523"/>
      <c r="S26" s="524"/>
      <c r="T26" s="524"/>
      <c r="U26" s="524"/>
      <c r="V26" s="524"/>
      <c r="W26" s="525"/>
    </row>
    <row r="27" spans="2:26" ht="7.5" customHeight="1" x14ac:dyDescent="0.3">
      <c r="B27" s="94"/>
      <c r="C27" s="514"/>
      <c r="D27" s="516"/>
      <c r="E27" s="698"/>
      <c r="F27" s="699"/>
      <c r="G27" s="585"/>
      <c r="H27" s="585"/>
      <c r="I27" s="585"/>
      <c r="J27" s="585"/>
      <c r="K27" s="585"/>
      <c r="L27" s="527"/>
      <c r="M27" s="520"/>
      <c r="N27" s="520"/>
      <c r="O27" s="521"/>
      <c r="P27" s="521"/>
      <c r="Q27" s="701"/>
      <c r="R27" s="702"/>
      <c r="S27" s="702"/>
      <c r="T27" s="702"/>
      <c r="U27" s="702"/>
      <c r="V27" s="702"/>
    </row>
    <row r="28" spans="2:26" s="362" customFormat="1" ht="20.25" customHeight="1" x14ac:dyDescent="0.3">
      <c r="B28" s="485"/>
      <c r="C28" s="526"/>
      <c r="D28" s="1338" t="s">
        <v>269</v>
      </c>
      <c r="E28" s="531"/>
      <c r="F28" s="532"/>
      <c r="G28" s="533"/>
      <c r="H28" s="533"/>
      <c r="I28" s="533"/>
      <c r="J28" s="533"/>
      <c r="K28" s="533"/>
      <c r="L28" s="534"/>
      <c r="M28" s="520">
        <f>G21+G26</f>
        <v>11073936.446192458</v>
      </c>
      <c r="N28" s="520"/>
      <c r="O28" s="521"/>
      <c r="P28" s="521"/>
      <c r="Q28" s="529"/>
      <c r="R28" s="703" t="s">
        <v>210</v>
      </c>
      <c r="S28" s="703" t="s">
        <v>227</v>
      </c>
      <c r="T28" s="703" t="s">
        <v>228</v>
      </c>
      <c r="U28" s="703" t="s">
        <v>229</v>
      </c>
      <c r="V28" s="703" t="s">
        <v>230</v>
      </c>
      <c r="W28" s="28"/>
      <c r="X28"/>
      <c r="Y28"/>
      <c r="Z28"/>
    </row>
    <row r="29" spans="2:26" s="362" customFormat="1" ht="20.100000000000001" customHeight="1" x14ac:dyDescent="0.3">
      <c r="B29" s="485"/>
      <c r="C29" s="526"/>
      <c r="D29" s="535"/>
      <c r="E29" s="830" t="str">
        <f>Q29</f>
        <v>Eliminate 19X and Replace with US 50 Service (4 Round Trips)</v>
      </c>
      <c r="F29" s="738"/>
      <c r="G29" s="739">
        <f>IF(R29=1,ROUND('[31] T25 Service Alts'!$M$26,-2),0)</f>
        <v>476500</v>
      </c>
      <c r="H29" s="739">
        <f>IF(S29=1,ROUND('[31] T25 Service Alts'!$M$26*S25,-2),0)</f>
        <v>495600</v>
      </c>
      <c r="I29" s="739">
        <f>IF(T29=1,ROUND('[31] T25 Service Alts'!$M$26*T25,-2),0)</f>
        <v>514600</v>
      </c>
      <c r="J29" s="739">
        <f>IF(U29=1,ROUND('[31] T25 Service Alts'!$M$26*U25,-2),0)</f>
        <v>533700</v>
      </c>
      <c r="K29" s="739">
        <f>IF(V29=1,ROUND('[31] T25 Service Alts'!$M$26*V25,-2),0)</f>
        <v>552700</v>
      </c>
      <c r="L29" s="831"/>
      <c r="M29" s="537"/>
      <c r="N29" s="537"/>
      <c r="O29" s="521"/>
      <c r="P29" s="538"/>
      <c r="Q29" s="539" t="s">
        <v>293</v>
      </c>
      <c r="R29" s="704">
        <v>1</v>
      </c>
      <c r="S29" s="704">
        <v>1</v>
      </c>
      <c r="T29" s="704">
        <v>1</v>
      </c>
      <c r="U29" s="704">
        <v>1</v>
      </c>
      <c r="V29" s="704">
        <v>1</v>
      </c>
      <c r="W29" s="28"/>
      <c r="X29"/>
      <c r="Y29"/>
      <c r="Z29"/>
    </row>
    <row r="30" spans="2:26" s="362" customFormat="1" ht="20.100000000000001" customHeight="1" x14ac:dyDescent="0.3">
      <c r="C30" s="540"/>
      <c r="D30" s="541"/>
      <c r="E30" s="830" t="str">
        <f>Q30</f>
        <v>Seasonal Expansion of Route 28 to Spooner Mobility Hub</v>
      </c>
      <c r="F30" s="832"/>
      <c r="G30" s="739">
        <f>IF(R30=1,ROUND('[31] T25 Service Alts'!$M$32,-2),0)</f>
        <v>0</v>
      </c>
      <c r="H30" s="739">
        <f>IF(S30=1,ROUND('[31] T25 Service Alts'!$M$30*S25,-2),0)</f>
        <v>137200</v>
      </c>
      <c r="I30" s="739">
        <f>IF(T30=1,ROUND('[31] T25 Service Alts'!$M$30*T25,-2),0)</f>
        <v>142400</v>
      </c>
      <c r="J30" s="739">
        <f>IF(U30=1,ROUND('[31] T25 Service Alts'!$M$30*U25,-2),0)</f>
        <v>147700</v>
      </c>
      <c r="K30" s="739">
        <f>IF(V30=1,ROUND('[31] T25 Service Alts'!$M$30*V25,-2),0)</f>
        <v>153000</v>
      </c>
      <c r="L30" s="831"/>
      <c r="M30" s="543"/>
      <c r="N30" s="543"/>
      <c r="O30" s="521"/>
      <c r="P30" s="538"/>
      <c r="Q30" s="544" t="s">
        <v>295</v>
      </c>
      <c r="R30" s="704">
        <v>0</v>
      </c>
      <c r="S30" s="704">
        <v>1</v>
      </c>
      <c r="T30" s="704">
        <v>1</v>
      </c>
      <c r="U30" s="704">
        <v>1</v>
      </c>
      <c r="V30" s="704">
        <v>1</v>
      </c>
      <c r="W30" s="545"/>
    </row>
    <row r="31" spans="2:26" ht="20.100000000000001" customHeight="1" x14ac:dyDescent="0.3">
      <c r="B31" s="94"/>
      <c r="C31" s="540"/>
      <c r="D31" s="541"/>
      <c r="E31" s="1369" t="str">
        <f>Q31</f>
        <v>Continue to Operate the Emerald Bay Shuttle (Route 30) Beyond the Pilot Period</v>
      </c>
      <c r="F31" s="1370"/>
      <c r="G31" s="739">
        <f>IF(R31=1,ROUND('[31] T25 Service Alts'!$M$37,-2),0)</f>
        <v>0</v>
      </c>
      <c r="H31" s="739">
        <f>IF(S31=1,ROUND('[31] T25 Service Alts'!$M$37*S25,-2),0)</f>
        <v>0</v>
      </c>
      <c r="I31" s="739">
        <f>IF(T31=1,ROUND('[31] T25 Service Alts'!$M$35*T25,-2),0)</f>
        <v>558700</v>
      </c>
      <c r="J31" s="739">
        <f>IF(U31=1,ROUND('[31] T25 Service Alts'!$M$35*U25,-2),0)</f>
        <v>579400</v>
      </c>
      <c r="K31" s="739">
        <f>IF(V31=1,ROUND('[31] T25 Service Alts'!$M$35*V25,-2),0)</f>
        <v>600100</v>
      </c>
      <c r="L31" s="831"/>
      <c r="M31" s="543"/>
      <c r="N31" s="543"/>
      <c r="O31" s="521"/>
      <c r="P31" s="538"/>
      <c r="Q31" s="546" t="s">
        <v>296</v>
      </c>
      <c r="R31" s="704">
        <v>0</v>
      </c>
      <c r="S31" s="704">
        <v>0</v>
      </c>
      <c r="T31" s="704">
        <v>1</v>
      </c>
      <c r="U31" s="704">
        <v>1</v>
      </c>
      <c r="V31" s="704">
        <v>1</v>
      </c>
      <c r="W31" s="545"/>
      <c r="X31" s="362"/>
      <c r="Y31" s="362"/>
      <c r="Z31" s="362"/>
    </row>
    <row r="32" spans="2:26" ht="20.100000000000001" customHeight="1" x14ac:dyDescent="0.3">
      <c r="B32" s="481"/>
      <c r="C32" s="540"/>
      <c r="D32" s="541"/>
      <c r="E32" s="828" t="s">
        <v>348</v>
      </c>
      <c r="F32" s="734"/>
      <c r="G32" s="735">
        <f>IF(R32=1,ROUND('[31] T25 Service Alts'!$M$43,-2),0)</f>
        <v>0</v>
      </c>
      <c r="H32" s="735">
        <f>IF(S32=1,ROUND('[31] T25 Service Alts'!$M$41*S25,-2),0)</f>
        <v>357300</v>
      </c>
      <c r="I32" s="735">
        <f>IF(T32=1,ROUND('[31] T25 Service Alts'!$M$41*T25,-2),0)</f>
        <v>371000</v>
      </c>
      <c r="J32" s="735">
        <f>IF(U32=1,ROUND('[31] T25 Service Alts'!$M$41*U25,-2),0)</f>
        <v>384800</v>
      </c>
      <c r="K32" s="735">
        <f>IF(V32=1,ROUND('[31] T25 Service Alts'!$M$41*V25,-2),0)</f>
        <v>398500</v>
      </c>
      <c r="L32" s="829"/>
      <c r="M32" s="543"/>
      <c r="N32" s="543"/>
      <c r="O32" s="521"/>
      <c r="P32" s="538"/>
      <c r="Q32" s="539" t="s">
        <v>297</v>
      </c>
      <c r="R32" s="704">
        <v>0</v>
      </c>
      <c r="S32" s="704">
        <v>1</v>
      </c>
      <c r="T32" s="704">
        <v>1</v>
      </c>
      <c r="U32" s="704">
        <v>1</v>
      </c>
      <c r="V32" s="704">
        <v>1</v>
      </c>
      <c r="W32" s="545"/>
      <c r="X32" s="362"/>
      <c r="Y32" s="362"/>
      <c r="Z32" s="362"/>
    </row>
    <row r="33" spans="2:26" ht="20.100000000000001" customHeight="1" x14ac:dyDescent="0.3">
      <c r="B33" s="481"/>
      <c r="C33" s="540"/>
      <c r="D33" s="541"/>
      <c r="E33" s="830" t="str">
        <f>Q33</f>
        <v>Discontinue Route 50 Deviation to LTCC during Summer</v>
      </c>
      <c r="F33" s="738"/>
      <c r="G33" s="739">
        <f>IF(R33=1,ROUND('[31] T25 Service Alts'!$M$37,-2),0)</f>
        <v>-10600</v>
      </c>
      <c r="H33" s="739">
        <f>IF(S33=1,ROUND('[31] T25 Service Alts'!$M$37*S25,-2),0)</f>
        <v>-11000</v>
      </c>
      <c r="I33" s="739">
        <f>IF(T33=1,ROUND('[31] T25 Service Alts'!$M$37*T25,-2),0)</f>
        <v>-11400</v>
      </c>
      <c r="J33" s="739">
        <f>IF(U33=1,ROUND('[31] T25 Service Alts'!$M$37*U25,-2),0)</f>
        <v>-11800</v>
      </c>
      <c r="K33" s="739">
        <f>IF(V33=1,ROUND('[31] T25 Service Alts'!$M$37*V25,-2),0)</f>
        <v>-12300</v>
      </c>
      <c r="L33" s="831"/>
      <c r="M33" s="543"/>
      <c r="N33" s="543"/>
      <c r="O33" s="521"/>
      <c r="P33" s="538"/>
      <c r="Q33" s="546" t="s">
        <v>685</v>
      </c>
      <c r="R33" s="704">
        <v>1</v>
      </c>
      <c r="S33" s="704">
        <v>1</v>
      </c>
      <c r="T33" s="704">
        <v>1</v>
      </c>
      <c r="U33" s="704">
        <v>1</v>
      </c>
      <c r="V33" s="704">
        <v>1</v>
      </c>
      <c r="W33" s="545"/>
      <c r="X33" s="362"/>
      <c r="Y33" s="362"/>
      <c r="Z33" s="362"/>
    </row>
    <row r="34" spans="2:26" s="368" customFormat="1" ht="14.25" customHeight="1" thickBot="1" x14ac:dyDescent="0.35">
      <c r="B34" s="556"/>
      <c r="C34" s="540"/>
      <c r="D34" s="541"/>
      <c r="E34" s="547"/>
      <c r="F34" s="542"/>
      <c r="G34" s="548"/>
      <c r="H34" s="548"/>
      <c r="I34" s="548"/>
      <c r="J34" s="548"/>
      <c r="K34" s="548"/>
      <c r="L34" s="534"/>
      <c r="M34" s="520"/>
      <c r="N34" s="520"/>
      <c r="O34" s="521"/>
      <c r="P34" s="549"/>
      <c r="Q34" s="550"/>
      <c r="R34" s="551"/>
      <c r="S34" s="280"/>
      <c r="T34" s="280"/>
      <c r="U34" s="280"/>
      <c r="V34" s="280"/>
      <c r="W34" s="367"/>
      <c r="X34"/>
      <c r="Y34"/>
      <c r="Z34"/>
    </row>
    <row r="35" spans="2:26" ht="20.100000000000001" customHeight="1" x14ac:dyDescent="0.3">
      <c r="B35" s="94"/>
      <c r="C35" s="526"/>
      <c r="D35" s="535"/>
      <c r="E35" s="737" t="s">
        <v>275</v>
      </c>
      <c r="F35" s="738"/>
      <c r="G35" s="739">
        <f>SUM(G29:G31,G33)</f>
        <v>465900</v>
      </c>
      <c r="H35" s="739">
        <f>SUM(H29:H31,H33)</f>
        <v>621800</v>
      </c>
      <c r="I35" s="739">
        <f>SUM(I29:I31,I33)</f>
        <v>1204300</v>
      </c>
      <c r="J35" s="739">
        <f>SUM(J29:J31,J33)</f>
        <v>1249000</v>
      </c>
      <c r="K35" s="739">
        <f>SUM(K29:K31,K33)</f>
        <v>1293500</v>
      </c>
      <c r="L35" s="740"/>
      <c r="M35" s="552">
        <f>SUM(G35:K35)</f>
        <v>4834500</v>
      </c>
      <c r="O35" s="521"/>
      <c r="P35" s="521"/>
      <c r="Q35" s="532"/>
    </row>
    <row r="36" spans="2:26" ht="20.100000000000001" customHeight="1" x14ac:dyDescent="0.3">
      <c r="B36" s="94"/>
      <c r="C36" s="526"/>
      <c r="D36" s="535"/>
      <c r="E36" s="733" t="s">
        <v>276</v>
      </c>
      <c r="F36" s="734"/>
      <c r="G36" s="735">
        <f>SUM(G32)</f>
        <v>0</v>
      </c>
      <c r="H36" s="735">
        <f>SUM(H32)</f>
        <v>357300</v>
      </c>
      <c r="I36" s="735">
        <f>SUM(I32)</f>
        <v>371000</v>
      </c>
      <c r="J36" s="735">
        <f>SUM(J32)</f>
        <v>384800</v>
      </c>
      <c r="K36" s="735">
        <f>SUM(K32)</f>
        <v>398500</v>
      </c>
      <c r="L36" s="736"/>
      <c r="M36" s="552">
        <f>SUM(G36:K36)</f>
        <v>1511600</v>
      </c>
      <c r="O36" s="521"/>
      <c r="P36" s="521"/>
    </row>
    <row r="37" spans="2:26" ht="20.100000000000001" customHeight="1" x14ac:dyDescent="0.3">
      <c r="B37" s="94"/>
      <c r="C37" s="526"/>
      <c r="D37" s="535"/>
      <c r="E37" s="825" t="s">
        <v>241</v>
      </c>
      <c r="F37" s="826"/>
      <c r="G37" s="697">
        <f>SUM(G29:G34)</f>
        <v>465900</v>
      </c>
      <c r="H37" s="697">
        <f>SUM(H29:H34)</f>
        <v>979100</v>
      </c>
      <c r="I37" s="697">
        <f>SUM(I29:I34)</f>
        <v>1575300</v>
      </c>
      <c r="J37" s="697">
        <f>SUM(J29:J34)</f>
        <v>1633800</v>
      </c>
      <c r="K37" s="697">
        <f>SUM(K29:K34)</f>
        <v>1692000</v>
      </c>
      <c r="L37" s="827"/>
      <c r="M37" s="552">
        <f>SUM(G37:K37)</f>
        <v>6346100</v>
      </c>
      <c r="O37" s="521"/>
      <c r="P37" s="521"/>
    </row>
    <row r="38" spans="2:26" ht="13.5" customHeight="1" x14ac:dyDescent="0.3">
      <c r="B38" s="94"/>
      <c r="C38" s="526"/>
      <c r="D38" s="535"/>
      <c r="E38" s="553"/>
      <c r="F38" s="553"/>
      <c r="G38" s="554"/>
      <c r="H38" s="554"/>
      <c r="I38" s="554"/>
      <c r="J38" s="554"/>
      <c r="K38" s="554"/>
      <c r="L38" s="555"/>
      <c r="M38" s="520"/>
      <c r="N38" s="520"/>
      <c r="O38" s="521"/>
      <c r="P38" s="521"/>
    </row>
    <row r="39" spans="2:26" ht="15.9" customHeight="1" x14ac:dyDescent="0.3">
      <c r="B39" s="94"/>
      <c r="C39" s="526"/>
      <c r="D39" s="558" t="s">
        <v>811</v>
      </c>
      <c r="E39" s="553"/>
      <c r="F39" s="553"/>
      <c r="G39" s="1150">
        <f>G21+G26</f>
        <v>11073936.446192458</v>
      </c>
      <c r="H39" s="1150">
        <f t="shared" ref="H39:K39" si="0">H21+H26</f>
        <v>11502298.384040158</v>
      </c>
      <c r="I39" s="1150">
        <f t="shared" si="0"/>
        <v>11418070.959401764</v>
      </c>
      <c r="J39" s="1150">
        <f t="shared" si="0"/>
        <v>11930328.471902635</v>
      </c>
      <c r="K39" s="1150">
        <f t="shared" si="0"/>
        <v>12397360.253855862</v>
      </c>
      <c r="L39" s="555"/>
      <c r="M39" s="520"/>
      <c r="N39" s="520"/>
      <c r="O39" s="521"/>
      <c r="P39" s="521"/>
    </row>
    <row r="40" spans="2:26" ht="21" customHeight="1" x14ac:dyDescent="0.3">
      <c r="B40" s="94"/>
      <c r="C40" s="557"/>
      <c r="D40" s="558" t="s">
        <v>812</v>
      </c>
      <c r="E40" s="553"/>
      <c r="F40" s="553"/>
      <c r="G40" s="559">
        <f>G21+G26+G35</f>
        <v>11539836.446192458</v>
      </c>
      <c r="H40" s="559">
        <f>H21+H26+H35</f>
        <v>12124098.384040158</v>
      </c>
      <c r="I40" s="559">
        <f>I21+I26+I35</f>
        <v>12622370.959401764</v>
      </c>
      <c r="J40" s="559">
        <f>J21+J26+J35</f>
        <v>13179328.471902635</v>
      </c>
      <c r="K40" s="559">
        <f>K21+K26+K35</f>
        <v>13690860.253855862</v>
      </c>
      <c r="L40" s="560"/>
      <c r="M40" s="561"/>
      <c r="N40" s="562"/>
      <c r="O40" s="563"/>
      <c r="P40" s="563"/>
      <c r="R40" s="565"/>
      <c r="S40" s="566"/>
      <c r="T40" s="566"/>
      <c r="U40" s="566"/>
      <c r="V40" s="566"/>
      <c r="W40" s="566"/>
      <c r="X40" s="368"/>
      <c r="Y40" s="368"/>
      <c r="Z40" s="368"/>
    </row>
    <row r="41" spans="2:26" ht="4.5" customHeight="1" x14ac:dyDescent="0.3">
      <c r="B41" s="94"/>
      <c r="C41" s="567"/>
      <c r="D41" s="568"/>
      <c r="E41" s="568"/>
      <c r="F41" s="568"/>
      <c r="G41" s="569"/>
      <c r="H41" s="570"/>
      <c r="I41" s="570"/>
      <c r="J41" s="570"/>
      <c r="K41" s="570"/>
      <c r="L41" s="571"/>
      <c r="M41" s="520"/>
      <c r="N41" s="520"/>
      <c r="O41" s="521"/>
      <c r="P41" s="521"/>
    </row>
    <row r="42" spans="2:26" ht="30.45" customHeight="1" x14ac:dyDescent="0.3">
      <c r="B42" s="94"/>
      <c r="C42" s="514"/>
      <c r="D42" s="1363" t="s">
        <v>313</v>
      </c>
      <c r="E42" s="1363"/>
      <c r="F42" s="1363"/>
      <c r="G42" s="1363"/>
      <c r="H42" s="1363"/>
      <c r="I42" s="1363"/>
      <c r="J42" s="1363"/>
      <c r="K42" s="1363"/>
      <c r="L42" s="572"/>
      <c r="M42" s="520"/>
      <c r="N42" s="520"/>
      <c r="O42" s="521"/>
      <c r="P42" s="543"/>
    </row>
    <row r="43" spans="2:26" ht="17.25" customHeight="1" x14ac:dyDescent="0.3">
      <c r="B43" s="94"/>
      <c r="C43" s="514"/>
      <c r="D43" s="1363" t="s">
        <v>551</v>
      </c>
      <c r="E43" s="1363"/>
      <c r="F43" s="1363"/>
      <c r="G43" s="1363"/>
      <c r="H43" s="1363"/>
      <c r="I43" s="1363"/>
      <c r="J43" s="1363"/>
      <c r="K43" s="1363"/>
      <c r="L43" s="572"/>
      <c r="M43" s="520"/>
      <c r="N43" s="520"/>
      <c r="O43" s="521"/>
      <c r="P43" s="543"/>
    </row>
    <row r="44" spans="2:26" ht="17.25" customHeight="1" x14ac:dyDescent="0.3">
      <c r="B44" s="94"/>
      <c r="C44" s="514"/>
      <c r="D44" s="1363" t="s">
        <v>891</v>
      </c>
      <c r="E44" s="1363"/>
      <c r="F44" s="1363"/>
      <c r="G44" s="1363"/>
      <c r="H44" s="1363"/>
      <c r="I44" s="1363"/>
      <c r="J44" s="1363"/>
      <c r="K44" s="1363"/>
      <c r="L44" s="572"/>
      <c r="M44" s="520"/>
      <c r="N44" s="520"/>
      <c r="O44" s="521"/>
      <c r="P44" s="543"/>
    </row>
    <row r="45" spans="2:26" ht="17.25" customHeight="1" x14ac:dyDescent="0.3">
      <c r="B45" s="94"/>
      <c r="C45" s="514"/>
      <c r="D45" s="1363" t="s">
        <v>349</v>
      </c>
      <c r="E45" s="1363"/>
      <c r="F45" s="1363"/>
      <c r="G45" s="1363"/>
      <c r="H45" s="1363"/>
      <c r="I45" s="1363"/>
      <c r="J45" s="1363"/>
      <c r="K45" s="1363"/>
      <c r="L45" s="572"/>
      <c r="M45" s="520"/>
      <c r="N45" s="520"/>
      <c r="O45" s="521"/>
      <c r="P45" s="543"/>
    </row>
    <row r="46" spans="2:26" ht="14.7" customHeight="1" x14ac:dyDescent="0.3">
      <c r="B46" s="94"/>
      <c r="C46" s="526"/>
      <c r="D46" s="573" t="s">
        <v>242</v>
      </c>
      <c r="E46" s="553"/>
      <c r="F46" s="532"/>
      <c r="G46" s="574"/>
      <c r="H46" s="532"/>
      <c r="I46" s="532"/>
      <c r="J46" s="532"/>
      <c r="K46" s="532"/>
      <c r="L46" s="575"/>
      <c r="M46" s="520"/>
      <c r="N46" s="520"/>
      <c r="O46" s="521"/>
      <c r="P46" s="521"/>
    </row>
    <row r="47" spans="2:26" ht="6.75" customHeight="1" thickBot="1" x14ac:dyDescent="0.35">
      <c r="B47" s="94"/>
      <c r="C47" s="576"/>
      <c r="D47" s="577"/>
      <c r="E47" s="577"/>
      <c r="F47" s="577"/>
      <c r="G47" s="578"/>
      <c r="H47" s="577"/>
      <c r="I47" s="577"/>
      <c r="J47" s="577"/>
      <c r="K47" s="577"/>
      <c r="L47" s="579"/>
      <c r="M47" s="520"/>
      <c r="N47" s="520"/>
      <c r="O47" s="521"/>
      <c r="P47" s="521"/>
    </row>
    <row r="48" spans="2:26" ht="9.75" customHeight="1" x14ac:dyDescent="0.3">
      <c r="B48" s="94"/>
      <c r="M48" s="520"/>
      <c r="N48" s="520"/>
      <c r="O48" s="521"/>
      <c r="P48" s="521"/>
      <c r="Q48" s="486"/>
    </row>
    <row r="49" spans="2:26" x14ac:dyDescent="0.3">
      <c r="G49" s="580"/>
      <c r="H49" s="371"/>
      <c r="K49" s="580"/>
      <c r="M49" s="520"/>
      <c r="N49" s="520"/>
      <c r="O49" s="521"/>
      <c r="P49" s="521"/>
    </row>
    <row r="50" spans="2:26" x14ac:dyDescent="0.3">
      <c r="B50" s="94"/>
    </row>
    <row r="51" spans="2:26" x14ac:dyDescent="0.3">
      <c r="B51" s="94"/>
      <c r="S51" s="586"/>
      <c r="T51" s="586"/>
      <c r="U51" s="586"/>
      <c r="V51" s="586"/>
      <c r="W51" s="586"/>
    </row>
    <row r="52" spans="2:26" ht="44.25" customHeight="1" x14ac:dyDescent="0.35">
      <c r="B52" s="420"/>
    </row>
    <row r="53" spans="2:26" ht="8.6999999999999993" customHeight="1" thickBot="1" x14ac:dyDescent="0.35">
      <c r="B53" s="94"/>
    </row>
    <row r="54" spans="2:26" x14ac:dyDescent="0.3">
      <c r="B54" s="94"/>
      <c r="C54" s="487"/>
      <c r="D54" s="488"/>
      <c r="E54" s="488"/>
      <c r="F54" s="488"/>
      <c r="G54" s="488"/>
      <c r="H54" s="488"/>
      <c r="I54" s="488"/>
      <c r="J54" s="488"/>
      <c r="K54" s="488"/>
      <c r="L54" s="488"/>
      <c r="M54" s="488"/>
      <c r="N54" s="489"/>
      <c r="O54" s="587"/>
      <c r="P54" s="587"/>
      <c r="Q54" s="588"/>
      <c r="R54" s="589"/>
    </row>
    <row r="55" spans="2:26" s="586" customFormat="1" ht="32.25" customHeight="1" x14ac:dyDescent="0.35">
      <c r="B55" s="607"/>
      <c r="C55" s="493"/>
      <c r="D55" s="1346" t="s">
        <v>852</v>
      </c>
      <c r="E55" s="590"/>
      <c r="F55" s="590"/>
      <c r="G55" s="591"/>
      <c r="H55" s="591"/>
      <c r="I55" s="591"/>
      <c r="J55" s="591"/>
      <c r="K55" s="591"/>
      <c r="L55" s="591"/>
      <c r="M55" s="1364" t="s">
        <v>245</v>
      </c>
      <c r="N55" s="592"/>
      <c r="O55" s="593"/>
      <c r="P55" s="593"/>
      <c r="Q55" s="594"/>
      <c r="R55" s="595"/>
      <c r="S55" s="476"/>
      <c r="T55" s="476"/>
      <c r="U55" s="476"/>
      <c r="V55" s="476"/>
      <c r="W55" s="476"/>
      <c r="X55"/>
      <c r="Y55"/>
      <c r="Z55"/>
    </row>
    <row r="56" spans="2:26" ht="16.5" customHeight="1" x14ac:dyDescent="0.3">
      <c r="B56" s="1132" t="s">
        <v>822</v>
      </c>
      <c r="C56" s="596"/>
      <c r="D56" s="597"/>
      <c r="E56" s="598"/>
      <c r="F56" s="598"/>
      <c r="G56" s="599"/>
      <c r="H56" s="599"/>
      <c r="I56" s="599"/>
      <c r="J56" s="599"/>
      <c r="K56" s="599"/>
      <c r="L56" s="599"/>
      <c r="M56" s="1364"/>
      <c r="N56" s="592"/>
      <c r="O56" s="600"/>
      <c r="P56" s="600"/>
      <c r="Q56" s="601"/>
      <c r="R56" s="602"/>
      <c r="S56" s="476"/>
      <c r="T56" s="476"/>
      <c r="U56" s="476" t="s">
        <v>243</v>
      </c>
      <c r="V56" s="476"/>
      <c r="W56" s="476"/>
    </row>
    <row r="57" spans="2:26" ht="10.199999999999999" customHeight="1" x14ac:dyDescent="0.3">
      <c r="B57" s="94"/>
      <c r="C57" s="501"/>
      <c r="D57" s="584"/>
      <c r="E57" s="503"/>
      <c r="F57" s="583"/>
      <c r="G57" s="505" t="s">
        <v>210</v>
      </c>
      <c r="H57" s="505" t="s">
        <v>227</v>
      </c>
      <c r="I57" s="505" t="s">
        <v>228</v>
      </c>
      <c r="J57" s="505" t="s">
        <v>229</v>
      </c>
      <c r="K57" s="505" t="s">
        <v>230</v>
      </c>
      <c r="L57" s="505"/>
      <c r="M57" s="1365"/>
      <c r="N57" s="603"/>
      <c r="O57" s="604" t="s">
        <v>246</v>
      </c>
      <c r="P57" s="604"/>
      <c r="Q57" s="605"/>
      <c r="R57" s="606"/>
      <c r="S57" s="476"/>
      <c r="T57" s="476"/>
      <c r="U57" s="476"/>
      <c r="V57" s="476"/>
      <c r="W57" s="476"/>
    </row>
    <row r="58" spans="2:26" ht="6" customHeight="1" x14ac:dyDescent="0.3">
      <c r="B58" s="94"/>
      <c r="C58" s="608"/>
      <c r="D58" s="517"/>
      <c r="E58" s="609"/>
      <c r="F58" s="609"/>
      <c r="G58" s="609"/>
      <c r="H58" s="609"/>
      <c r="I58" s="609"/>
      <c r="J58" s="609"/>
      <c r="K58" s="609"/>
      <c r="L58" s="609"/>
      <c r="M58" s="609"/>
      <c r="N58" s="610"/>
      <c r="O58" s="485"/>
      <c r="P58" s="485"/>
      <c r="Q58" s="486"/>
      <c r="R58" s="611"/>
      <c r="S58" s="476"/>
      <c r="T58" s="476"/>
      <c r="U58" s="476"/>
      <c r="V58" s="476"/>
      <c r="W58" s="476"/>
      <c r="X58" s="586"/>
      <c r="Y58" s="586"/>
      <c r="Z58" s="586"/>
    </row>
    <row r="59" spans="2:26" s="476" customFormat="1" ht="19.5" customHeight="1" x14ac:dyDescent="0.3">
      <c r="B59" s="94"/>
      <c r="C59" s="612"/>
      <c r="D59" s="613" t="s">
        <v>794</v>
      </c>
      <c r="E59" s="614"/>
      <c r="F59" s="614"/>
      <c r="G59" s="688"/>
      <c r="H59" s="614"/>
      <c r="I59" s="614"/>
      <c r="J59" s="614"/>
      <c r="K59" s="614"/>
      <c r="L59" s="614"/>
      <c r="M59" s="614"/>
      <c r="N59" s="615"/>
      <c r="O59" s="616"/>
      <c r="P59" s="616"/>
      <c r="Q59" s="617"/>
      <c r="R59" s="618"/>
      <c r="X59"/>
      <c r="Y59"/>
      <c r="Z59"/>
    </row>
    <row r="60" spans="2:26" s="627" customFormat="1" ht="20.100000000000001" customHeight="1" x14ac:dyDescent="0.3">
      <c r="B60" s="94"/>
      <c r="C60" s="612"/>
      <c r="D60" s="619"/>
      <c r="E60" s="1342" t="s">
        <v>867</v>
      </c>
      <c r="F60" s="1153"/>
      <c r="G60" s="1154">
        <f>'FTA Allocation Split (26-27)'!G34</f>
        <v>1569548.0510082091</v>
      </c>
      <c r="H60" s="1154">
        <f>ROUND(G60*$O$2,-2)</f>
        <v>1585200</v>
      </c>
      <c r="I60" s="1154">
        <f t="shared" ref="I60:K60" si="1">ROUND(H60*$O$2,-2)</f>
        <v>1601100</v>
      </c>
      <c r="J60" s="1154">
        <f t="shared" si="1"/>
        <v>1617100</v>
      </c>
      <c r="K60" s="1154">
        <f t="shared" si="1"/>
        <v>1633300</v>
      </c>
      <c r="L60" s="1154"/>
      <c r="M60" s="1155">
        <f>SUM(G60:K60)</f>
        <v>8006248.0510082096</v>
      </c>
      <c r="N60" s="615"/>
      <c r="O60" s="1368" t="s">
        <v>345</v>
      </c>
      <c r="P60" s="1366"/>
      <c r="Q60" s="1366"/>
      <c r="R60" s="625"/>
      <c r="S60" s="617"/>
      <c r="T60" s="617"/>
      <c r="U60" s="617"/>
      <c r="V60" s="617"/>
      <c r="W60" s="617"/>
      <c r="X60" s="94"/>
      <c r="Y60" s="94"/>
      <c r="Z60" s="94"/>
    </row>
    <row r="61" spans="2:26" s="627" customFormat="1" ht="20.100000000000001" customHeight="1" x14ac:dyDescent="0.3">
      <c r="B61" s="94"/>
      <c r="C61" s="612"/>
      <c r="D61" s="619"/>
      <c r="E61" s="1342" t="s">
        <v>868</v>
      </c>
      <c r="F61" s="1153"/>
      <c r="G61" s="1154">
        <v>596121</v>
      </c>
      <c r="H61" s="1154">
        <f>ROUND(G61*$O$2,-2)</f>
        <v>602100</v>
      </c>
      <c r="I61" s="1154">
        <f t="shared" ref="I61:K61" si="2">ROUND(H61*$O$2,-2)</f>
        <v>608100</v>
      </c>
      <c r="J61" s="1154">
        <f t="shared" si="2"/>
        <v>614200</v>
      </c>
      <c r="K61" s="1154">
        <f t="shared" si="2"/>
        <v>620300</v>
      </c>
      <c r="L61" s="1154"/>
      <c r="M61" s="1155">
        <f>SUM(G61:K61)</f>
        <v>3040821</v>
      </c>
      <c r="N61" s="615"/>
      <c r="O61" s="1368" t="s">
        <v>345</v>
      </c>
      <c r="P61" s="1366"/>
      <c r="Q61" s="1366"/>
      <c r="R61" s="625"/>
      <c r="S61" s="617"/>
      <c r="T61" s="617"/>
      <c r="U61" s="617"/>
      <c r="V61" s="617"/>
      <c r="W61" s="617"/>
      <c r="X61" s="94"/>
      <c r="Y61" s="94"/>
      <c r="Z61" s="94"/>
    </row>
    <row r="62" spans="2:26" s="627" customFormat="1" ht="20.100000000000001" customHeight="1" x14ac:dyDescent="0.3">
      <c r="B62" s="94"/>
      <c r="C62" s="612"/>
      <c r="D62" s="619"/>
      <c r="E62" s="1342" t="s">
        <v>869</v>
      </c>
      <c r="F62" s="1153"/>
      <c r="G62" s="1154">
        <v>946281.94899179088</v>
      </c>
      <c r="H62" s="1156" t="s">
        <v>570</v>
      </c>
      <c r="I62" s="1156" t="s">
        <v>570</v>
      </c>
      <c r="J62" s="1156" t="s">
        <v>570</v>
      </c>
      <c r="K62" s="1156" t="s">
        <v>570</v>
      </c>
      <c r="L62" s="1154"/>
      <c r="M62" s="1155"/>
      <c r="N62" s="615"/>
      <c r="O62" s="763"/>
      <c r="P62" s="624"/>
      <c r="Q62" s="624"/>
      <c r="R62" s="625"/>
      <c r="S62" s="617"/>
      <c r="T62" s="617"/>
      <c r="U62" s="617"/>
      <c r="V62" s="617"/>
      <c r="W62" s="617"/>
      <c r="X62" s="94"/>
      <c r="Y62" s="94"/>
      <c r="Z62" s="94"/>
    </row>
    <row r="63" spans="2:26" s="627" customFormat="1" ht="20.100000000000001" customHeight="1" x14ac:dyDescent="0.3">
      <c r="B63" s="94"/>
      <c r="C63" s="612"/>
      <c r="D63" s="619"/>
      <c r="E63" s="1342" t="s">
        <v>870</v>
      </c>
      <c r="F63" s="1153"/>
      <c r="G63" s="1154">
        <f>'25_26 FTA Funding Split (INFO)'!J35</f>
        <v>0</v>
      </c>
      <c r="H63" s="1154">
        <f>ROUND('FTA Allocation Split (26-27)'!J35*'T2-4 A1 TTD LL Costs'!O2,-2)</f>
        <v>76000</v>
      </c>
      <c r="I63" s="1154">
        <v>0</v>
      </c>
      <c r="J63" s="1154">
        <f>ROUND('FTA Allocation Split (26-27)'!J35*'T2-4 A1 TTD LL Costs'!O2^4,-2)</f>
        <v>78300</v>
      </c>
      <c r="K63" s="1154">
        <v>0</v>
      </c>
      <c r="L63" s="1154"/>
      <c r="M63" s="1155">
        <f t="shared" ref="M63:M68" si="3">SUM(G63:K63)</f>
        <v>154300</v>
      </c>
      <c r="N63" s="615"/>
      <c r="O63" s="1368" t="s">
        <v>264</v>
      </c>
      <c r="P63" s="1366"/>
      <c r="Q63" s="1366"/>
      <c r="R63" s="741"/>
      <c r="S63" s="617"/>
      <c r="T63" s="617"/>
      <c r="U63" s="617"/>
      <c r="V63" s="617"/>
      <c r="W63" s="617"/>
    </row>
    <row r="64" spans="2:26" s="627" customFormat="1" ht="20.100000000000001" customHeight="1" x14ac:dyDescent="0.3">
      <c r="B64" s="94"/>
      <c r="C64" s="612"/>
      <c r="D64" s="619"/>
      <c r="E64" s="1342" t="s">
        <v>863</v>
      </c>
      <c r="F64" s="1153"/>
      <c r="G64" s="1154">
        <v>30277</v>
      </c>
      <c r="H64" s="1156" t="s">
        <v>570</v>
      </c>
      <c r="I64" s="1156" t="s">
        <v>570</v>
      </c>
      <c r="J64" s="1156" t="s">
        <v>570</v>
      </c>
      <c r="K64" s="1156" t="s">
        <v>570</v>
      </c>
      <c r="L64" s="1154"/>
      <c r="M64" s="1155">
        <f t="shared" si="3"/>
        <v>30277</v>
      </c>
      <c r="N64" s="615"/>
      <c r="O64" s="1368" t="s">
        <v>264</v>
      </c>
      <c r="P64" s="1366"/>
      <c r="Q64" s="1366"/>
      <c r="R64" s="741"/>
      <c r="S64" s="617"/>
      <c r="T64" s="617"/>
      <c r="U64" s="617"/>
      <c r="V64" s="617"/>
      <c r="W64" s="617"/>
    </row>
    <row r="65" spans="2:26" s="627" customFormat="1" ht="20.100000000000001" customHeight="1" x14ac:dyDescent="0.3">
      <c r="B65" s="94"/>
      <c r="C65" s="612"/>
      <c r="D65" s="619"/>
      <c r="E65" s="1342" t="s">
        <v>864</v>
      </c>
      <c r="F65" s="1153"/>
      <c r="G65" s="1154">
        <v>1798577</v>
      </c>
      <c r="H65" s="1154">
        <f>ROUND(G65*1.01,-2)</f>
        <v>1816600</v>
      </c>
      <c r="I65" s="1154">
        <f t="shared" ref="I65:K65" si="4">ROUND(H65*1.01,-2)</f>
        <v>1834800</v>
      </c>
      <c r="J65" s="1154">
        <f t="shared" si="4"/>
        <v>1853100</v>
      </c>
      <c r="K65" s="1154">
        <f t="shared" si="4"/>
        <v>1871600</v>
      </c>
      <c r="L65" s="1154"/>
      <c r="M65" s="1155">
        <f t="shared" si="3"/>
        <v>9174677</v>
      </c>
      <c r="N65" s="615"/>
      <c r="O65" s="1368" t="s">
        <v>265</v>
      </c>
      <c r="P65" s="1366"/>
      <c r="Q65" s="1366"/>
      <c r="R65" s="625"/>
      <c r="S65" s="617"/>
      <c r="T65" s="617"/>
      <c r="U65" s="617"/>
      <c r="V65" s="617"/>
      <c r="W65" s="617"/>
    </row>
    <row r="66" spans="2:26" s="671" customFormat="1" ht="20.100000000000001" customHeight="1" x14ac:dyDescent="0.3">
      <c r="B66" s="94"/>
      <c r="C66" s="612"/>
      <c r="D66" s="619"/>
      <c r="E66" s="1342" t="s">
        <v>865</v>
      </c>
      <c r="F66" s="1153"/>
      <c r="G66" s="1154">
        <v>1263326</v>
      </c>
      <c r="H66" s="1154">
        <f>ROUND(G66*(1+H10),-2)</f>
        <v>1263600</v>
      </c>
      <c r="I66" s="1154">
        <f>ROUND(H66*(1+I10),-2)</f>
        <v>1263900</v>
      </c>
      <c r="J66" s="1154">
        <f>ROUND(I66*(1+J10),-2)</f>
        <v>1264200</v>
      </c>
      <c r="K66" s="1154">
        <f>ROUND(J66*(1+K10),-2)</f>
        <v>1264500</v>
      </c>
      <c r="L66" s="1154"/>
      <c r="M66" s="1157">
        <f t="shared" si="3"/>
        <v>6319526</v>
      </c>
      <c r="N66" s="615"/>
      <c r="O66" s="1366" t="s">
        <v>248</v>
      </c>
      <c r="P66" s="1366"/>
      <c r="Q66" s="1366"/>
      <c r="R66" s="1367"/>
      <c r="S66" s="617"/>
      <c r="T66" s="617"/>
      <c r="U66" s="617"/>
      <c r="V66" s="617"/>
      <c r="W66" s="617"/>
      <c r="X66" s="627"/>
      <c r="Y66" s="627"/>
      <c r="Z66" s="627"/>
    </row>
    <row r="67" spans="2:26" s="671" customFormat="1" ht="20.100000000000001" customHeight="1" x14ac:dyDescent="0.3">
      <c r="B67" s="94"/>
      <c r="C67" s="612"/>
      <c r="D67" s="619"/>
      <c r="E67" s="1342" t="s">
        <v>866</v>
      </c>
      <c r="F67" s="1153"/>
      <c r="G67" s="1154">
        <v>581801</v>
      </c>
      <c r="H67" s="1154">
        <f>ROUND(G67*(1+H10),-2)</f>
        <v>581900</v>
      </c>
      <c r="I67" s="1154">
        <f>H67</f>
        <v>581900</v>
      </c>
      <c r="J67" s="1154">
        <f>I67</f>
        <v>581900</v>
      </c>
      <c r="K67" s="1154">
        <f>J67</f>
        <v>581900</v>
      </c>
      <c r="L67" s="1154"/>
      <c r="M67" s="1157">
        <f t="shared" si="3"/>
        <v>2909401</v>
      </c>
      <c r="N67" s="615"/>
      <c r="O67" s="1366" t="s">
        <v>248</v>
      </c>
      <c r="P67" s="1366"/>
      <c r="Q67" s="1366"/>
      <c r="R67" s="1367"/>
      <c r="S67" s="617"/>
      <c r="T67" s="617"/>
      <c r="U67" s="617"/>
      <c r="V67" s="617"/>
      <c r="W67" s="617"/>
      <c r="X67" s="627"/>
      <c r="Y67" s="627"/>
      <c r="Z67" s="627"/>
    </row>
    <row r="68" spans="2:26" s="671" customFormat="1" ht="20.100000000000001" customHeight="1" x14ac:dyDescent="0.3">
      <c r="B68" s="94"/>
      <c r="C68" s="612"/>
      <c r="D68" s="619"/>
      <c r="E68" s="1158" t="s">
        <v>813</v>
      </c>
      <c r="F68" s="1159"/>
      <c r="G68" s="1160">
        <f>SUM(G60:G67)</f>
        <v>6785932</v>
      </c>
      <c r="H68" s="1160">
        <f>SUM(H60:H67)</f>
        <v>5925400</v>
      </c>
      <c r="I68" s="1160">
        <f>SUM(I60:I67)</f>
        <v>5889800</v>
      </c>
      <c r="J68" s="1160">
        <f>SUM(J60:J67)</f>
        <v>6008800</v>
      </c>
      <c r="K68" s="1160">
        <f>SUM(K60:K67)</f>
        <v>5971600</v>
      </c>
      <c r="L68" s="1161"/>
      <c r="M68" s="1162">
        <f t="shared" si="3"/>
        <v>30581532</v>
      </c>
      <c r="N68" s="615"/>
      <c r="O68" s="690"/>
      <c r="P68" s="690"/>
      <c r="Q68" s="690"/>
      <c r="R68" s="691"/>
      <c r="S68" s="617"/>
      <c r="T68" s="617"/>
      <c r="U68" s="617"/>
      <c r="V68" s="617"/>
      <c r="W68" s="617"/>
      <c r="X68" s="627"/>
      <c r="Y68" s="627"/>
      <c r="Z68" s="627"/>
    </row>
    <row r="69" spans="2:26" s="94" customFormat="1" ht="9" customHeight="1" thickBot="1" x14ac:dyDescent="0.35">
      <c r="C69" s="642"/>
      <c r="D69" s="643"/>
      <c r="E69" s="645"/>
      <c r="F69" s="645"/>
      <c r="G69" s="645"/>
      <c r="H69" s="645"/>
      <c r="I69" s="645"/>
      <c r="J69" s="645"/>
      <c r="K69" s="645"/>
      <c r="L69" s="645"/>
      <c r="M69" s="645"/>
      <c r="N69" s="1184"/>
      <c r="O69" s="485"/>
      <c r="P69" s="485"/>
      <c r="Q69" s="486"/>
      <c r="R69" s="611"/>
      <c r="S69" s="627"/>
      <c r="T69" s="627"/>
      <c r="U69" s="627"/>
      <c r="V69" s="627"/>
      <c r="W69" s="627"/>
      <c r="X69" s="607"/>
      <c r="Y69" s="607"/>
      <c r="Z69" s="607"/>
    </row>
    <row r="70" spans="2:26" s="627" customFormat="1" ht="19.5" customHeight="1" x14ac:dyDescent="0.3">
      <c r="B70" s="94"/>
      <c r="C70" s="612"/>
      <c r="D70" s="613" t="s">
        <v>815</v>
      </c>
      <c r="E70" s="614"/>
      <c r="F70" s="614"/>
      <c r="G70" s="641"/>
      <c r="H70" s="614"/>
      <c r="I70" s="614"/>
      <c r="J70" s="614"/>
      <c r="K70" s="614"/>
      <c r="L70" s="614"/>
      <c r="M70" s="614"/>
      <c r="N70" s="615"/>
      <c r="O70" s="616"/>
      <c r="P70" s="616"/>
      <c r="Q70" s="617"/>
      <c r="R70" s="618"/>
      <c r="X70" s="94"/>
      <c r="Y70" s="94"/>
      <c r="Z70" s="94"/>
    </row>
    <row r="71" spans="2:26" s="627" customFormat="1" ht="19.5" customHeight="1" x14ac:dyDescent="0.3">
      <c r="B71" s="94"/>
      <c r="C71" s="612"/>
      <c r="E71" s="844" t="s">
        <v>314</v>
      </c>
      <c r="F71" s="614"/>
      <c r="G71" s="688"/>
      <c r="H71" s="614"/>
      <c r="I71" s="614"/>
      <c r="J71" s="614"/>
      <c r="K71" s="614"/>
      <c r="L71" s="614"/>
      <c r="M71" s="614"/>
      <c r="N71" s="615"/>
      <c r="O71" s="616"/>
      <c r="P71" s="616"/>
      <c r="Q71" s="617"/>
      <c r="R71" s="618"/>
      <c r="X71" s="94"/>
      <c r="Y71" s="94"/>
      <c r="Z71" s="94"/>
    </row>
    <row r="72" spans="2:26" s="627" customFormat="1" ht="20.100000000000001" customHeight="1" x14ac:dyDescent="0.3">
      <c r="B72" s="94"/>
      <c r="C72" s="612"/>
      <c r="D72" s="619"/>
      <c r="E72" s="1342" t="s">
        <v>871</v>
      </c>
      <c r="F72" s="1153"/>
      <c r="G72" s="1154">
        <f>'Operating Stats'!E7*'Fare Rates'!C7+'Operating Stats'!E8*'Fare Rates'!C7+'Operating Stats'!E9*'Fare Rates'!C9+'Operating Stats'!E10*'Fare Rates'!C10+'Operating Stats'!E11*'Fare Rates'!C6+'Operating Stats'!E12*'Fare Rates'!C6+'Operating Stats'!E13*'Fare Rates'!C6</f>
        <v>53500</v>
      </c>
      <c r="H72" s="1154">
        <v>0</v>
      </c>
      <c r="I72" s="1154">
        <v>0</v>
      </c>
      <c r="J72" s="1154">
        <v>0</v>
      </c>
      <c r="K72" s="1154">
        <v>0</v>
      </c>
      <c r="L72" s="1154"/>
      <c r="M72" s="1155">
        <f t="shared" ref="M72:M82" si="5">SUM(G72:K72)</f>
        <v>53500</v>
      </c>
      <c r="N72" s="615"/>
      <c r="O72" s="1366" t="s">
        <v>344</v>
      </c>
      <c r="P72" s="1366"/>
      <c r="Q72" s="1366"/>
      <c r="R72" s="1367"/>
      <c r="S72" s="617"/>
      <c r="T72" s="617"/>
      <c r="U72" s="617"/>
      <c r="V72" s="617"/>
      <c r="W72" s="617"/>
      <c r="X72" s="94"/>
      <c r="Y72" s="94"/>
      <c r="Z72" s="94"/>
    </row>
    <row r="73" spans="2:26" s="627" customFormat="1" ht="20.100000000000001" customHeight="1" x14ac:dyDescent="0.3">
      <c r="B73" s="94"/>
      <c r="C73" s="612"/>
      <c r="D73" s="613"/>
      <c r="E73" s="1342" t="s">
        <v>876</v>
      </c>
      <c r="F73" s="1153"/>
      <c r="G73" s="1154">
        <v>265506</v>
      </c>
      <c r="H73" s="1154">
        <v>0</v>
      </c>
      <c r="I73" s="1154">
        <f>ROUND(G73,-2)</f>
        <v>265500</v>
      </c>
      <c r="J73" s="1154">
        <v>0</v>
      </c>
      <c r="K73" s="1154">
        <f>I73</f>
        <v>265500</v>
      </c>
      <c r="L73" s="1154"/>
      <c r="M73" s="1155">
        <f t="shared" si="5"/>
        <v>796506</v>
      </c>
      <c r="N73" s="615"/>
      <c r="O73" s="638" t="s">
        <v>758</v>
      </c>
      <c r="P73" s="638"/>
      <c r="Q73" s="638"/>
      <c r="R73" s="865"/>
      <c r="X73" s="671"/>
      <c r="Y73" s="671"/>
      <c r="Z73" s="671"/>
    </row>
    <row r="74" spans="2:26" s="627" customFormat="1" ht="20.100000000000001" customHeight="1" x14ac:dyDescent="0.3">
      <c r="B74" s="94"/>
      <c r="C74" s="612"/>
      <c r="D74" s="619"/>
      <c r="E74" s="1342" t="s">
        <v>872</v>
      </c>
      <c r="F74" s="1153"/>
      <c r="G74" s="1163">
        <v>8000</v>
      </c>
      <c r="H74" s="1163">
        <f>G74</f>
        <v>8000</v>
      </c>
      <c r="I74" s="1163">
        <f>G74</f>
        <v>8000</v>
      </c>
      <c r="J74" s="1163">
        <f>H74</f>
        <v>8000</v>
      </c>
      <c r="K74" s="1163">
        <f>I74</f>
        <v>8000</v>
      </c>
      <c r="L74" s="1154"/>
      <c r="M74" s="1155">
        <f t="shared" si="5"/>
        <v>40000</v>
      </c>
      <c r="N74" s="615"/>
      <c r="O74" s="624"/>
      <c r="P74" s="624"/>
      <c r="Q74" s="624"/>
      <c r="R74" s="625"/>
    </row>
    <row r="75" spans="2:26" s="671" customFormat="1" ht="20.100000000000001" customHeight="1" x14ac:dyDescent="0.3">
      <c r="B75" s="631"/>
      <c r="C75" s="612"/>
      <c r="D75" s="613"/>
      <c r="E75" s="1164" t="s">
        <v>251</v>
      </c>
      <c r="F75" s="1165"/>
      <c r="G75" s="1163">
        <v>825000</v>
      </c>
      <c r="H75" s="1163">
        <v>0</v>
      </c>
      <c r="I75" s="1163">
        <v>0</v>
      </c>
      <c r="J75" s="1163">
        <f>I75*(1+J10)</f>
        <v>0</v>
      </c>
      <c r="K75" s="1163">
        <f>J75*(1+K10)</f>
        <v>0</v>
      </c>
      <c r="L75" s="1163"/>
      <c r="M75" s="1166">
        <f t="shared" si="5"/>
        <v>825000</v>
      </c>
      <c r="N75" s="615"/>
      <c r="O75" s="1366"/>
      <c r="P75" s="1366"/>
      <c r="Q75" s="1366"/>
      <c r="R75" s="1367"/>
      <c r="S75" s="627"/>
      <c r="T75" s="627"/>
      <c r="U75" s="627"/>
      <c r="V75" s="627"/>
      <c r="W75" s="627"/>
    </row>
    <row r="76" spans="2:26" s="627" customFormat="1" ht="20.100000000000001" customHeight="1" x14ac:dyDescent="0.3">
      <c r="C76" s="612"/>
      <c r="D76" s="619"/>
      <c r="E76" s="1342" t="s">
        <v>873</v>
      </c>
      <c r="F76" s="1153"/>
      <c r="G76" s="1163">
        <v>85000</v>
      </c>
      <c r="H76" s="1163">
        <f t="shared" ref="H76:K78" si="6">G76</f>
        <v>85000</v>
      </c>
      <c r="I76" s="1163">
        <f t="shared" si="6"/>
        <v>85000</v>
      </c>
      <c r="J76" s="1163">
        <f t="shared" si="6"/>
        <v>85000</v>
      </c>
      <c r="K76" s="1163">
        <f t="shared" si="6"/>
        <v>85000</v>
      </c>
      <c r="L76" s="1163"/>
      <c r="M76" s="1155">
        <f t="shared" si="5"/>
        <v>425000</v>
      </c>
      <c r="N76" s="615"/>
      <c r="O76" s="624"/>
      <c r="P76" s="624"/>
      <c r="Q76" s="624"/>
      <c r="R76" s="625"/>
    </row>
    <row r="77" spans="2:26" s="627" customFormat="1" ht="20.100000000000001" customHeight="1" x14ac:dyDescent="0.3">
      <c r="C77" s="612"/>
      <c r="D77" s="619"/>
      <c r="E77" s="1342" t="s">
        <v>874</v>
      </c>
      <c r="F77" s="1153"/>
      <c r="G77" s="1163">
        <v>120000</v>
      </c>
      <c r="H77" s="1163">
        <f t="shared" si="6"/>
        <v>120000</v>
      </c>
      <c r="I77" s="1163">
        <f t="shared" si="6"/>
        <v>120000</v>
      </c>
      <c r="J77" s="1163">
        <f t="shared" si="6"/>
        <v>120000</v>
      </c>
      <c r="K77" s="1163">
        <f t="shared" si="6"/>
        <v>120000</v>
      </c>
      <c r="L77" s="1154"/>
      <c r="M77" s="1155">
        <f t="shared" si="5"/>
        <v>600000</v>
      </c>
      <c r="N77" s="615"/>
      <c r="O77" s="624"/>
      <c r="P77" s="624"/>
      <c r="Q77" s="624"/>
      <c r="R77" s="625"/>
    </row>
    <row r="78" spans="2:26" s="627" customFormat="1" ht="20.100000000000001" customHeight="1" x14ac:dyDescent="0.3">
      <c r="B78" s="628"/>
      <c r="C78" s="612"/>
      <c r="D78" s="619"/>
      <c r="E78" s="1342" t="s">
        <v>875</v>
      </c>
      <c r="F78" s="1153"/>
      <c r="G78" s="1163">
        <v>18000</v>
      </c>
      <c r="H78" s="1163">
        <f t="shared" si="6"/>
        <v>18000</v>
      </c>
      <c r="I78" s="1163">
        <f t="shared" si="6"/>
        <v>18000</v>
      </c>
      <c r="J78" s="1163">
        <f t="shared" si="6"/>
        <v>18000</v>
      </c>
      <c r="K78" s="1163">
        <f t="shared" si="6"/>
        <v>18000</v>
      </c>
      <c r="L78" s="1154"/>
      <c r="M78" s="1155">
        <f t="shared" si="5"/>
        <v>90000</v>
      </c>
      <c r="N78" s="615"/>
      <c r="O78" s="690"/>
      <c r="P78" s="690"/>
      <c r="Q78" s="690"/>
      <c r="R78" s="691"/>
    </row>
    <row r="79" spans="2:26" s="627" customFormat="1" ht="20.100000000000001" customHeight="1" x14ac:dyDescent="0.3">
      <c r="B79" s="628"/>
      <c r="C79" s="612"/>
      <c r="D79" s="619"/>
      <c r="E79" s="1342" t="s">
        <v>877</v>
      </c>
      <c r="F79" s="1153"/>
      <c r="G79" s="1163">
        <v>8322</v>
      </c>
      <c r="H79" s="1154">
        <f>38000-G79</f>
        <v>29678</v>
      </c>
      <c r="I79" s="1154">
        <v>0</v>
      </c>
      <c r="J79" s="1154">
        <v>0</v>
      </c>
      <c r="K79" s="1154">
        <v>0</v>
      </c>
      <c r="L79" s="1154"/>
      <c r="M79" s="1155">
        <f t="shared" si="5"/>
        <v>38000</v>
      </c>
      <c r="N79" s="615"/>
      <c r="O79" s="1371" t="s">
        <v>353</v>
      </c>
      <c r="P79" s="1372"/>
      <c r="Q79" s="1372"/>
      <c r="R79" s="625"/>
    </row>
    <row r="80" spans="2:26" s="627" customFormat="1" ht="20.100000000000001" customHeight="1" x14ac:dyDescent="0.3">
      <c r="B80" s="628"/>
      <c r="C80" s="612"/>
      <c r="D80" s="619"/>
      <c r="E80" s="1342" t="s">
        <v>878</v>
      </c>
      <c r="F80" s="1153"/>
      <c r="G80" s="1154">
        <v>271910</v>
      </c>
      <c r="H80" s="1154">
        <f>809000-G80</f>
        <v>537090</v>
      </c>
      <c r="I80" s="1154">
        <v>0</v>
      </c>
      <c r="J80" s="1154">
        <v>0</v>
      </c>
      <c r="K80" s="1154">
        <v>0</v>
      </c>
      <c r="L80" s="1154"/>
      <c r="M80" s="1157">
        <f t="shared" si="5"/>
        <v>809000</v>
      </c>
      <c r="N80" s="615"/>
      <c r="O80" s="1371" t="s">
        <v>351</v>
      </c>
      <c r="P80" s="1372"/>
      <c r="Q80" s="1372"/>
      <c r="R80" s="625"/>
      <c r="S80" s="617"/>
      <c r="T80" s="617"/>
      <c r="U80" s="617"/>
      <c r="V80" s="617"/>
      <c r="W80" s="617"/>
    </row>
    <row r="81" spans="2:26" s="627" customFormat="1" ht="20.100000000000001" customHeight="1" x14ac:dyDescent="0.3">
      <c r="C81" s="612"/>
      <c r="D81" s="613"/>
      <c r="E81" s="1342" t="s">
        <v>879</v>
      </c>
      <c r="F81" s="1153"/>
      <c r="G81" s="1154">
        <v>331240</v>
      </c>
      <c r="H81" s="1154">
        <f>431395-G81</f>
        <v>100155</v>
      </c>
      <c r="I81" s="1154">
        <v>0</v>
      </c>
      <c r="J81" s="1154">
        <v>0</v>
      </c>
      <c r="K81" s="1154">
        <v>0</v>
      </c>
      <c r="L81" s="1154"/>
      <c r="M81" s="1155">
        <f t="shared" si="5"/>
        <v>431395</v>
      </c>
      <c r="N81" s="615"/>
      <c r="O81" s="1371" t="s">
        <v>352</v>
      </c>
      <c r="P81" s="1372"/>
      <c r="Q81" s="1372"/>
      <c r="R81" s="865"/>
      <c r="X81" s="671"/>
      <c r="Y81" s="671"/>
      <c r="Z81" s="671"/>
    </row>
    <row r="82" spans="2:26" s="627" customFormat="1" ht="20.100000000000001" customHeight="1" x14ac:dyDescent="0.3">
      <c r="C82" s="612"/>
      <c r="D82" s="613"/>
      <c r="E82" s="1342" t="s">
        <v>880</v>
      </c>
      <c r="F82" s="1153"/>
      <c r="G82" s="1154">
        <v>8324</v>
      </c>
      <c r="H82" s="1154">
        <f>38000-G82</f>
        <v>29676</v>
      </c>
      <c r="I82" s="1154">
        <v>0</v>
      </c>
      <c r="J82" s="1154">
        <v>0</v>
      </c>
      <c r="K82" s="1154">
        <v>0</v>
      </c>
      <c r="L82" s="1154"/>
      <c r="M82" s="1155">
        <f t="shared" si="5"/>
        <v>38000</v>
      </c>
      <c r="N82" s="615"/>
      <c r="O82" s="1371" t="s">
        <v>353</v>
      </c>
      <c r="P82" s="1372"/>
      <c r="Q82" s="1372"/>
      <c r="R82" s="865"/>
      <c r="X82" s="671"/>
      <c r="Y82" s="671"/>
      <c r="Z82" s="671"/>
    </row>
    <row r="83" spans="2:26" s="627" customFormat="1" ht="5.85" customHeight="1" x14ac:dyDescent="0.3">
      <c r="C83" s="612"/>
      <c r="D83" s="619"/>
      <c r="F83" s="614"/>
      <c r="G83" s="641"/>
      <c r="H83" s="641"/>
      <c r="I83" s="641"/>
      <c r="J83" s="641"/>
      <c r="K83" s="641"/>
      <c r="L83" s="641"/>
      <c r="M83" s="641"/>
      <c r="N83" s="615"/>
      <c r="O83" s="690"/>
      <c r="P83" s="690"/>
      <c r="Q83" s="690"/>
      <c r="R83" s="691"/>
    </row>
    <row r="84" spans="2:26" s="627" customFormat="1" ht="19.5" customHeight="1" x14ac:dyDescent="0.3">
      <c r="C84" s="612"/>
      <c r="E84" s="613" t="s">
        <v>271</v>
      </c>
      <c r="F84" s="1152">
        <v>2026</v>
      </c>
      <c r="G84" s="1043" t="s">
        <v>552</v>
      </c>
      <c r="H84" s="1043" t="s">
        <v>553</v>
      </c>
      <c r="I84" s="1043" t="s">
        <v>554</v>
      </c>
      <c r="J84" s="1043" t="s">
        <v>555</v>
      </c>
      <c r="K84" s="1043" t="s">
        <v>556</v>
      </c>
      <c r="L84" s="614"/>
      <c r="M84" s="614"/>
      <c r="N84" s="615"/>
      <c r="O84" s="616"/>
      <c r="P84" s="616"/>
      <c r="Q84" s="617"/>
      <c r="R84" s="618"/>
      <c r="X84" s="94"/>
      <c r="Y84" s="94"/>
      <c r="Z84" s="94"/>
    </row>
    <row r="85" spans="2:26" s="671" customFormat="1" ht="20.100000000000001" customHeight="1" x14ac:dyDescent="0.3">
      <c r="B85" s="631"/>
      <c r="C85" s="612"/>
      <c r="D85" s="613"/>
      <c r="E85" s="1170" t="s">
        <v>251</v>
      </c>
      <c r="F85" s="1171">
        <f>G85</f>
        <v>750000</v>
      </c>
      <c r="G85" s="1172">
        <v>750000</v>
      </c>
      <c r="H85" s="1172">
        <v>0</v>
      </c>
      <c r="I85" s="1172">
        <v>0</v>
      </c>
      <c r="J85" s="1172">
        <v>0</v>
      </c>
      <c r="K85" s="1172">
        <v>0</v>
      </c>
      <c r="L85" s="1172"/>
      <c r="M85" s="1173">
        <f t="shared" ref="M85:M95" si="7">SUM(G85:K85)</f>
        <v>750000</v>
      </c>
      <c r="N85" s="615"/>
      <c r="O85" s="1372" t="s">
        <v>354</v>
      </c>
      <c r="P85" s="1372"/>
      <c r="Q85" s="1372"/>
      <c r="R85" s="1373"/>
      <c r="S85" s="627"/>
      <c r="T85" s="627"/>
      <c r="U85" s="627"/>
      <c r="V85" s="627"/>
      <c r="W85" s="627"/>
    </row>
    <row r="86" spans="2:26" s="627" customFormat="1" ht="20.100000000000001" customHeight="1" x14ac:dyDescent="0.3">
      <c r="C86" s="612"/>
      <c r="D86" s="619"/>
      <c r="E86" s="1343" t="s">
        <v>881</v>
      </c>
      <c r="F86" s="1174">
        <v>650000</v>
      </c>
      <c r="G86" s="1172">
        <v>750000</v>
      </c>
      <c r="H86" s="1172">
        <v>850000</v>
      </c>
      <c r="I86" s="1172">
        <f>H86</f>
        <v>850000</v>
      </c>
      <c r="J86" s="1172">
        <f>I86</f>
        <v>850000</v>
      </c>
      <c r="K86" s="1172">
        <f>J86</f>
        <v>850000</v>
      </c>
      <c r="L86" s="1175"/>
      <c r="M86" s="1173">
        <f t="shared" si="7"/>
        <v>4150000</v>
      </c>
      <c r="N86" s="615"/>
      <c r="O86" s="624"/>
      <c r="P86" s="624"/>
      <c r="Q86" s="624"/>
      <c r="R86" s="625"/>
    </row>
    <row r="87" spans="2:26" s="627" customFormat="1" ht="20.100000000000001" customHeight="1" x14ac:dyDescent="0.3">
      <c r="C87" s="612"/>
      <c r="D87" s="619"/>
      <c r="E87" s="1343" t="s">
        <v>882</v>
      </c>
      <c r="F87" s="1174">
        <v>850000</v>
      </c>
      <c r="G87" s="1172">
        <v>1100000</v>
      </c>
      <c r="H87" s="1172">
        <f>G87</f>
        <v>1100000</v>
      </c>
      <c r="I87" s="1172">
        <f t="shared" ref="I87:K87" si="8">H87</f>
        <v>1100000</v>
      </c>
      <c r="J87" s="1172">
        <f t="shared" si="8"/>
        <v>1100000</v>
      </c>
      <c r="K87" s="1172">
        <f t="shared" si="8"/>
        <v>1100000</v>
      </c>
      <c r="L87" s="1175"/>
      <c r="M87" s="1173">
        <f t="shared" si="7"/>
        <v>5500000</v>
      </c>
      <c r="N87" s="615"/>
      <c r="O87" s="624"/>
      <c r="P87" s="624"/>
      <c r="Q87" s="624"/>
      <c r="R87" s="625"/>
    </row>
    <row r="88" spans="2:26" s="627" customFormat="1" ht="20.100000000000001" customHeight="1" x14ac:dyDescent="0.3">
      <c r="B88" s="627">
        <f>G88/F88-1</f>
        <v>0.1218018670490153</v>
      </c>
      <c r="C88" s="612"/>
      <c r="D88" s="619"/>
      <c r="E88" s="1343" t="s">
        <v>883</v>
      </c>
      <c r="F88" s="1174">
        <v>613053</v>
      </c>
      <c r="G88" s="1172">
        <v>687724</v>
      </c>
      <c r="H88" s="1172">
        <f>MIN(ROUND(G88*1.06,-2),750000)</f>
        <v>729000</v>
      </c>
      <c r="I88" s="1172">
        <f t="shared" ref="I88:K88" si="9">MIN(ROUND(H88*1.06,-2),750000)</f>
        <v>750000</v>
      </c>
      <c r="J88" s="1172">
        <f t="shared" si="9"/>
        <v>750000</v>
      </c>
      <c r="K88" s="1172">
        <f t="shared" si="9"/>
        <v>750000</v>
      </c>
      <c r="L88" s="1175"/>
      <c r="M88" s="1173">
        <f t="shared" si="7"/>
        <v>3666724</v>
      </c>
      <c r="N88" s="615"/>
      <c r="O88" s="1371" t="s">
        <v>759</v>
      </c>
      <c r="P88" s="1372"/>
      <c r="Q88" s="1372"/>
      <c r="R88" s="1373"/>
    </row>
    <row r="89" spans="2:26" s="627" customFormat="1" ht="20.100000000000001" customHeight="1" x14ac:dyDescent="0.3">
      <c r="C89" s="612"/>
      <c r="D89" s="619"/>
      <c r="E89" s="1343" t="s">
        <v>884</v>
      </c>
      <c r="F89" s="1171">
        <v>25000</v>
      </c>
      <c r="G89" s="1172">
        <v>0</v>
      </c>
      <c r="H89" s="1172">
        <v>0</v>
      </c>
      <c r="I89" s="1172">
        <f t="shared" ref="I89:K95" si="10">H89</f>
        <v>0</v>
      </c>
      <c r="J89" s="1172">
        <f t="shared" si="10"/>
        <v>0</v>
      </c>
      <c r="K89" s="1172">
        <f t="shared" si="10"/>
        <v>0</v>
      </c>
      <c r="L89" s="1175"/>
      <c r="M89" s="1173">
        <f t="shared" si="7"/>
        <v>0</v>
      </c>
      <c r="N89" s="615"/>
      <c r="O89" s="624"/>
      <c r="P89" s="624"/>
      <c r="Q89" s="624"/>
      <c r="R89" s="625"/>
    </row>
    <row r="90" spans="2:26" s="627" customFormat="1" ht="20.100000000000001" customHeight="1" x14ac:dyDescent="0.3">
      <c r="C90" s="612"/>
      <c r="D90" s="619"/>
      <c r="E90" s="1343" t="s">
        <v>885</v>
      </c>
      <c r="F90" s="1171">
        <v>15000</v>
      </c>
      <c r="G90" s="1172">
        <v>0</v>
      </c>
      <c r="H90" s="1172">
        <v>0</v>
      </c>
      <c r="I90" s="1172">
        <f t="shared" si="10"/>
        <v>0</v>
      </c>
      <c r="J90" s="1172">
        <f t="shared" si="10"/>
        <v>0</v>
      </c>
      <c r="K90" s="1172">
        <f t="shared" si="10"/>
        <v>0</v>
      </c>
      <c r="L90" s="1175"/>
      <c r="M90" s="1173">
        <f t="shared" si="7"/>
        <v>0</v>
      </c>
      <c r="N90" s="615"/>
      <c r="O90" s="624"/>
      <c r="P90" s="624"/>
      <c r="Q90" s="624"/>
      <c r="R90" s="625"/>
    </row>
    <row r="91" spans="2:26" s="627" customFormat="1" ht="20.100000000000001" customHeight="1" x14ac:dyDescent="0.3">
      <c r="C91" s="612"/>
      <c r="D91" s="619"/>
      <c r="E91" s="1343" t="s">
        <v>886</v>
      </c>
      <c r="F91" s="1171">
        <v>65000</v>
      </c>
      <c r="G91" s="1172">
        <v>0</v>
      </c>
      <c r="H91" s="1172">
        <v>0</v>
      </c>
      <c r="I91" s="1172">
        <f t="shared" si="10"/>
        <v>0</v>
      </c>
      <c r="J91" s="1172">
        <f t="shared" si="10"/>
        <v>0</v>
      </c>
      <c r="K91" s="1172">
        <f t="shared" si="10"/>
        <v>0</v>
      </c>
      <c r="L91" s="1175"/>
      <c r="M91" s="1173">
        <f t="shared" si="7"/>
        <v>0</v>
      </c>
      <c r="N91" s="615"/>
      <c r="O91" s="624"/>
      <c r="P91" s="624"/>
      <c r="Q91" s="624"/>
      <c r="R91" s="625"/>
    </row>
    <row r="92" spans="2:26" s="627" customFormat="1" ht="20.100000000000001" customHeight="1" x14ac:dyDescent="0.3">
      <c r="C92" s="612"/>
      <c r="D92" s="619"/>
      <c r="E92" s="1343" t="s">
        <v>887</v>
      </c>
      <c r="F92" s="1171">
        <v>85000</v>
      </c>
      <c r="G92" s="1172">
        <v>0</v>
      </c>
      <c r="H92" s="1172">
        <v>0</v>
      </c>
      <c r="I92" s="1172">
        <f t="shared" si="10"/>
        <v>0</v>
      </c>
      <c r="J92" s="1172">
        <f t="shared" si="10"/>
        <v>0</v>
      </c>
      <c r="K92" s="1172">
        <f t="shared" si="10"/>
        <v>0</v>
      </c>
      <c r="L92" s="1175"/>
      <c r="M92" s="1173">
        <f t="shared" si="7"/>
        <v>0</v>
      </c>
      <c r="N92" s="615"/>
      <c r="O92" s="624"/>
      <c r="P92" s="624"/>
      <c r="Q92" s="624"/>
      <c r="R92" s="625"/>
    </row>
    <row r="93" spans="2:26" s="627" customFormat="1" ht="20.100000000000001" customHeight="1" x14ac:dyDescent="0.3">
      <c r="B93" s="632"/>
      <c r="C93" s="612"/>
      <c r="D93" s="619"/>
      <c r="E93" s="1343" t="s">
        <v>888</v>
      </c>
      <c r="F93" s="1171">
        <v>25000</v>
      </c>
      <c r="G93" s="1172">
        <v>0</v>
      </c>
      <c r="H93" s="1172">
        <v>0</v>
      </c>
      <c r="I93" s="1172">
        <f t="shared" si="10"/>
        <v>0</v>
      </c>
      <c r="J93" s="1172">
        <f t="shared" si="10"/>
        <v>0</v>
      </c>
      <c r="K93" s="1172">
        <f t="shared" si="10"/>
        <v>0</v>
      </c>
      <c r="L93" s="1175"/>
      <c r="M93" s="1173">
        <f t="shared" si="7"/>
        <v>0</v>
      </c>
      <c r="N93" s="615"/>
      <c r="O93" s="624"/>
      <c r="P93" s="624"/>
      <c r="Q93" s="624"/>
      <c r="R93" s="625"/>
    </row>
    <row r="94" spans="2:26" s="627" customFormat="1" ht="20.100000000000001" customHeight="1" x14ac:dyDescent="0.3">
      <c r="B94" s="632"/>
      <c r="C94" s="612"/>
      <c r="D94" s="619"/>
      <c r="E94" s="1343" t="s">
        <v>889</v>
      </c>
      <c r="F94" s="1171">
        <v>62100</v>
      </c>
      <c r="G94" s="1172">
        <v>0</v>
      </c>
      <c r="H94" s="1172">
        <v>0</v>
      </c>
      <c r="I94" s="1172">
        <f t="shared" ref="I94" si="11">H94</f>
        <v>0</v>
      </c>
      <c r="J94" s="1172">
        <f t="shared" ref="J94" si="12">I94</f>
        <v>0</v>
      </c>
      <c r="K94" s="1172">
        <f t="shared" ref="K94" si="13">J94</f>
        <v>0</v>
      </c>
      <c r="L94" s="1175"/>
      <c r="M94" s="1173">
        <f t="shared" ref="M94" si="14">SUM(G94:K94)</f>
        <v>0</v>
      </c>
      <c r="N94" s="615"/>
      <c r="O94" s="624"/>
      <c r="P94" s="624"/>
      <c r="Q94" s="624"/>
      <c r="R94" s="625"/>
    </row>
    <row r="95" spans="2:26" s="627" customFormat="1" ht="20.100000000000001" customHeight="1" x14ac:dyDescent="0.3">
      <c r="B95" s="632"/>
      <c r="C95" s="612"/>
      <c r="D95" s="619"/>
      <c r="E95" s="1343" t="s">
        <v>890</v>
      </c>
      <c r="F95" s="1171">
        <v>25000</v>
      </c>
      <c r="G95" s="1172">
        <v>0</v>
      </c>
      <c r="H95" s="1172">
        <v>0</v>
      </c>
      <c r="I95" s="1172">
        <f t="shared" si="10"/>
        <v>0</v>
      </c>
      <c r="J95" s="1172">
        <f t="shared" si="10"/>
        <v>0</v>
      </c>
      <c r="K95" s="1172">
        <f t="shared" si="10"/>
        <v>0</v>
      </c>
      <c r="L95" s="1175"/>
      <c r="M95" s="1173">
        <f t="shared" si="7"/>
        <v>0</v>
      </c>
      <c r="N95" s="615"/>
      <c r="O95" s="624"/>
      <c r="P95" s="624"/>
      <c r="Q95" s="624"/>
      <c r="R95" s="625"/>
    </row>
    <row r="96" spans="2:26" s="627" customFormat="1" ht="9" customHeight="1" x14ac:dyDescent="0.3">
      <c r="B96" s="632"/>
      <c r="C96" s="612"/>
      <c r="D96" s="619"/>
      <c r="E96" s="614"/>
      <c r="F96" s="614"/>
      <c r="G96" s="689"/>
      <c r="H96" s="689"/>
      <c r="I96" s="689"/>
      <c r="J96" s="689"/>
      <c r="K96" s="689"/>
      <c r="L96" s="641"/>
      <c r="M96" s="641"/>
      <c r="N96" s="615"/>
      <c r="O96" s="690"/>
      <c r="P96" s="690"/>
      <c r="Q96" s="690"/>
      <c r="R96" s="691"/>
    </row>
    <row r="97" spans="2:26" s="627" customFormat="1" ht="20.100000000000001" customHeight="1" x14ac:dyDescent="0.3">
      <c r="B97" s="632"/>
      <c r="C97" s="612"/>
      <c r="D97" s="619"/>
      <c r="E97" s="1158" t="s">
        <v>797</v>
      </c>
      <c r="F97" s="1167">
        <f>SUM(F85:F95)</f>
        <v>3165153</v>
      </c>
      <c r="G97" s="1160">
        <f>SUM(G72:G82)</f>
        <v>1994802</v>
      </c>
      <c r="H97" s="1160">
        <f>SUM(H72:H82)</f>
        <v>927599</v>
      </c>
      <c r="I97" s="1160">
        <f>SUM(I72:I82)</f>
        <v>496500</v>
      </c>
      <c r="J97" s="1160">
        <f>SUM(J72:J82)</f>
        <v>231000</v>
      </c>
      <c r="K97" s="1160">
        <f>SUM(K72:K82)</f>
        <v>496500</v>
      </c>
      <c r="L97" s="1168"/>
      <c r="M97" s="1169"/>
      <c r="N97" s="615"/>
      <c r="O97" s="635" t="s">
        <v>793</v>
      </c>
      <c r="P97" s="690"/>
      <c r="Q97" s="690"/>
      <c r="R97" s="691"/>
    </row>
    <row r="98" spans="2:26" s="627" customFormat="1" ht="20.100000000000001" customHeight="1" x14ac:dyDescent="0.3">
      <c r="B98" s="632"/>
      <c r="C98" s="612"/>
      <c r="D98" s="619"/>
      <c r="E98" s="1176" t="s">
        <v>798</v>
      </c>
      <c r="F98" s="1177"/>
      <c r="G98" s="1178">
        <f>SUM(G85:G95)</f>
        <v>3287724</v>
      </c>
      <c r="H98" s="1178">
        <f>SUM(H85:H95)</f>
        <v>2679000</v>
      </c>
      <c r="I98" s="1178">
        <f>SUM(I85:I95)</f>
        <v>2700000</v>
      </c>
      <c r="J98" s="1178">
        <f>SUM(J85:J95)</f>
        <v>2700000</v>
      </c>
      <c r="K98" s="1178">
        <f>SUM(K85:K95)</f>
        <v>2700000</v>
      </c>
      <c r="L98" s="1179"/>
      <c r="M98" s="1180"/>
      <c r="N98" s="615"/>
      <c r="O98" s="690"/>
      <c r="P98" s="690"/>
      <c r="Q98" s="690"/>
      <c r="R98" s="691"/>
    </row>
    <row r="99" spans="2:26" s="671" customFormat="1" ht="20.100000000000001" customHeight="1" x14ac:dyDescent="0.3">
      <c r="B99" s="631"/>
      <c r="C99" s="612"/>
      <c r="D99" s="619"/>
      <c r="E99" s="730" t="s">
        <v>814</v>
      </c>
      <c r="F99" s="692"/>
      <c r="G99" s="729">
        <f>SUM(G73:G95)</f>
        <v>5229026</v>
      </c>
      <c r="H99" s="729">
        <f>SUM(H73:H95)</f>
        <v>3606599</v>
      </c>
      <c r="I99" s="729">
        <f>SUM(I73:I95)</f>
        <v>3196500</v>
      </c>
      <c r="J99" s="729">
        <f>SUM(J73:J95)</f>
        <v>2931000</v>
      </c>
      <c r="K99" s="729">
        <f>SUM(K73:K95)</f>
        <v>3196500</v>
      </c>
      <c r="L99" s="693"/>
      <c r="M99" s="731"/>
      <c r="N99" s="615"/>
      <c r="O99" s="690"/>
      <c r="P99" s="690"/>
      <c r="Q99" s="690"/>
      <c r="R99" s="691"/>
      <c r="S99" s="617"/>
      <c r="T99" s="617"/>
      <c r="U99" s="617"/>
      <c r="V99" s="617"/>
      <c r="W99" s="617"/>
      <c r="X99" s="627"/>
      <c r="Y99" s="627"/>
      <c r="Z99" s="627"/>
    </row>
    <row r="100" spans="2:26" s="671" customFormat="1" ht="6" customHeight="1" thickBot="1" x14ac:dyDescent="0.35">
      <c r="B100" s="631"/>
      <c r="C100" s="1185"/>
      <c r="D100" s="654"/>
      <c r="E100" s="1186"/>
      <c r="F100" s="1186"/>
      <c r="G100" s="1187"/>
      <c r="H100" s="1187"/>
      <c r="I100" s="1187"/>
      <c r="J100" s="1187"/>
      <c r="K100" s="1187"/>
      <c r="L100" s="1188"/>
      <c r="M100" s="1189"/>
      <c r="N100" s="615"/>
      <c r="O100" s="690"/>
      <c r="P100" s="690"/>
      <c r="Q100" s="690"/>
      <c r="R100" s="691"/>
      <c r="S100" s="617"/>
      <c r="T100" s="617"/>
      <c r="U100" s="617"/>
      <c r="V100" s="617"/>
      <c r="W100" s="617"/>
      <c r="X100" s="627"/>
      <c r="Y100" s="627"/>
      <c r="Z100" s="627"/>
    </row>
    <row r="101" spans="2:26" s="627" customFormat="1" ht="24" customHeight="1" x14ac:dyDescent="0.3">
      <c r="B101" s="628"/>
      <c r="C101" s="612"/>
      <c r="D101" s="613" t="s">
        <v>272</v>
      </c>
      <c r="E101" s="633"/>
      <c r="F101" s="633"/>
      <c r="G101" s="672"/>
      <c r="H101" s="672"/>
      <c r="I101" s="672"/>
      <c r="J101" s="672"/>
      <c r="K101" s="672"/>
      <c r="L101" s="634"/>
      <c r="M101" s="732"/>
      <c r="N101" s="615"/>
      <c r="O101" s="635"/>
      <c r="P101" s="635"/>
      <c r="Q101" s="636"/>
      <c r="R101" s="637"/>
    </row>
    <row r="102" spans="2:26" s="627" customFormat="1" ht="20.100000000000001" customHeight="1" x14ac:dyDescent="0.3">
      <c r="C102" s="612"/>
      <c r="D102" s="613"/>
      <c r="E102" s="1199" t="s">
        <v>273</v>
      </c>
      <c r="F102" s="1191"/>
      <c r="G102" s="1192">
        <f>SUM(G68,G97)</f>
        <v>8780734</v>
      </c>
      <c r="H102" s="1192">
        <f>SUM(H68,H97)</f>
        <v>6852999</v>
      </c>
      <c r="I102" s="1192">
        <f>SUM(I68,I97)</f>
        <v>6386300</v>
      </c>
      <c r="J102" s="1192">
        <f>SUM(J68,J97)</f>
        <v>6239800</v>
      </c>
      <c r="K102" s="1192">
        <f>SUM(K68,K97)</f>
        <v>6468100</v>
      </c>
      <c r="L102" s="1193"/>
      <c r="M102" s="1206">
        <f>SUM(G102:K102)</f>
        <v>34727933</v>
      </c>
      <c r="N102" s="615"/>
      <c r="O102" s="638"/>
      <c r="P102" s="638"/>
      <c r="Q102" s="639"/>
      <c r="R102" s="640"/>
    </row>
    <row r="103" spans="2:26" s="627" customFormat="1" ht="20.100000000000001" customHeight="1" x14ac:dyDescent="0.3">
      <c r="C103" s="612"/>
      <c r="D103" s="613"/>
      <c r="E103" s="1200" t="s">
        <v>270</v>
      </c>
      <c r="F103" s="1181"/>
      <c r="G103" s="1182">
        <f>G98</f>
        <v>3287724</v>
      </c>
      <c r="H103" s="1182">
        <f>H98</f>
        <v>2679000</v>
      </c>
      <c r="I103" s="1182">
        <f>I98</f>
        <v>2700000</v>
      </c>
      <c r="J103" s="1182">
        <f>J98</f>
        <v>2700000</v>
      </c>
      <c r="K103" s="1182">
        <f>K98</f>
        <v>2700000</v>
      </c>
      <c r="L103" s="1183"/>
      <c r="M103" s="1207">
        <f>SUM(G103:K103)</f>
        <v>14066724</v>
      </c>
      <c r="N103" s="615"/>
      <c r="O103" s="638"/>
      <c r="P103" s="638"/>
      <c r="Q103" s="639"/>
      <c r="R103" s="640"/>
    </row>
    <row r="104" spans="2:26" s="627" customFormat="1" ht="20.100000000000001" customHeight="1" x14ac:dyDescent="0.3">
      <c r="C104" s="612"/>
      <c r="D104" s="613"/>
      <c r="E104" s="1201" t="s">
        <v>274</v>
      </c>
      <c r="F104" s="1197"/>
      <c r="G104" s="729">
        <f>SUM(G102:G103)</f>
        <v>12068458</v>
      </c>
      <c r="H104" s="729">
        <f>SUM(H102:H103)</f>
        <v>9531999</v>
      </c>
      <c r="I104" s="729">
        <f>SUM(I102:I103)</f>
        <v>9086300</v>
      </c>
      <c r="J104" s="729">
        <f>SUM(J102:J103)</f>
        <v>8939800</v>
      </c>
      <c r="K104" s="729">
        <f>SUM(K102:K103)</f>
        <v>9168100</v>
      </c>
      <c r="L104" s="800"/>
      <c r="M104" s="1151">
        <f>SUM(G104:K104)</f>
        <v>48794657</v>
      </c>
      <c r="N104" s="615"/>
      <c r="O104" s="638"/>
      <c r="P104" s="638"/>
      <c r="Q104" s="639"/>
      <c r="R104" s="640"/>
    </row>
    <row r="105" spans="2:26" s="627" customFormat="1" ht="6.45" customHeight="1" x14ac:dyDescent="0.3">
      <c r="C105" s="612"/>
      <c r="D105" s="613"/>
      <c r="E105" s="1148"/>
      <c r="F105" s="1149"/>
      <c r="G105" s="672"/>
      <c r="H105" s="672"/>
      <c r="I105" s="672"/>
      <c r="J105" s="672"/>
      <c r="K105" s="672"/>
      <c r="L105" s="634"/>
      <c r="M105" s="634"/>
      <c r="N105" s="615"/>
      <c r="O105" s="635"/>
      <c r="P105" s="635"/>
      <c r="Q105" s="636"/>
      <c r="R105" s="637"/>
    </row>
    <row r="106" spans="2:26" s="627" customFormat="1" ht="20.100000000000001" customHeight="1" x14ac:dyDescent="0.3">
      <c r="C106" s="612"/>
      <c r="E106" s="1190" t="s">
        <v>805</v>
      </c>
      <c r="F106" s="1191"/>
      <c r="G106" s="1192">
        <f>G21</f>
        <v>7845095.9861924574</v>
      </c>
      <c r="H106" s="1192">
        <f t="shared" ref="H106:K106" si="15">H21</f>
        <v>8144304.3056401573</v>
      </c>
      <c r="I106" s="1192">
        <f t="shared" si="15"/>
        <v>7925757.1178657636</v>
      </c>
      <c r="J106" s="1192">
        <f t="shared" si="15"/>
        <v>8298322.0767051941</v>
      </c>
      <c r="K106" s="1192">
        <f t="shared" si="15"/>
        <v>8620073.6028505228</v>
      </c>
      <c r="L106" s="1193"/>
      <c r="M106" s="1206">
        <f t="shared" ref="M106:M111" si="16">SUM(G106:K106)</f>
        <v>40833553.089254096</v>
      </c>
      <c r="N106" s="615"/>
      <c r="O106" s="635"/>
      <c r="P106" s="635"/>
      <c r="Q106" s="636"/>
      <c r="R106" s="637"/>
    </row>
    <row r="107" spans="2:26" s="627" customFormat="1" ht="20.100000000000001" customHeight="1" x14ac:dyDescent="0.3">
      <c r="C107" s="612"/>
      <c r="E107" s="1194" t="s">
        <v>806</v>
      </c>
      <c r="F107" s="1181"/>
      <c r="G107" s="1182">
        <f>G26</f>
        <v>3228840.46</v>
      </c>
      <c r="H107" s="1182">
        <f t="shared" ref="H107:K107" si="17">H26</f>
        <v>3357994.0784000005</v>
      </c>
      <c r="I107" s="1182">
        <f t="shared" si="17"/>
        <v>3492313.8415360008</v>
      </c>
      <c r="J107" s="1182">
        <f t="shared" si="17"/>
        <v>3632006.3951974409</v>
      </c>
      <c r="K107" s="1182">
        <f t="shared" si="17"/>
        <v>3777286.6510053384</v>
      </c>
      <c r="L107" s="1183"/>
      <c r="M107" s="1207">
        <f t="shared" si="16"/>
        <v>17488441.426138781</v>
      </c>
      <c r="N107" s="615"/>
      <c r="O107" s="635"/>
      <c r="P107" s="635"/>
      <c r="Q107" s="636"/>
      <c r="R107" s="637"/>
    </row>
    <row r="108" spans="2:26" s="627" customFormat="1" ht="20.100000000000001" customHeight="1" x14ac:dyDescent="0.3">
      <c r="C108" s="612"/>
      <c r="E108" s="1196" t="s">
        <v>807</v>
      </c>
      <c r="F108" s="1197"/>
      <c r="G108" s="729">
        <f>G106+G107</f>
        <v>11073936.446192458</v>
      </c>
      <c r="H108" s="729">
        <f t="shared" ref="H108:K108" si="18">H106+H107</f>
        <v>11502298.384040158</v>
      </c>
      <c r="I108" s="729">
        <f t="shared" si="18"/>
        <v>11418070.959401764</v>
      </c>
      <c r="J108" s="729">
        <f t="shared" si="18"/>
        <v>11930328.471902635</v>
      </c>
      <c r="K108" s="729">
        <f t="shared" si="18"/>
        <v>12397360.253855862</v>
      </c>
      <c r="L108" s="800"/>
      <c r="M108" s="1151">
        <f t="shared" si="16"/>
        <v>58321994.515392877</v>
      </c>
      <c r="N108" s="615"/>
      <c r="O108" s="635"/>
      <c r="P108" s="635"/>
      <c r="Q108" s="636"/>
      <c r="R108" s="637"/>
    </row>
    <row r="109" spans="2:26" s="627" customFormat="1" ht="20.100000000000001" customHeight="1" x14ac:dyDescent="0.3">
      <c r="B109" s="929"/>
      <c r="C109" s="612"/>
      <c r="E109" s="1190" t="s">
        <v>808</v>
      </c>
      <c r="F109" s="1202"/>
      <c r="G109" s="1193">
        <f>G21+G35</f>
        <v>8310995.9861924574</v>
      </c>
      <c r="H109" s="1193">
        <f>H21+H35</f>
        <v>8766104.3056401573</v>
      </c>
      <c r="I109" s="1193">
        <f>I21+I35</f>
        <v>9130057.1178657636</v>
      </c>
      <c r="J109" s="1193">
        <f>J21+J35</f>
        <v>9547322.076705195</v>
      </c>
      <c r="K109" s="1193">
        <f>K21+K35</f>
        <v>9913573.6028505228</v>
      </c>
      <c r="L109" s="1193"/>
      <c r="M109" s="1206">
        <f t="shared" si="16"/>
        <v>45668053.089254096</v>
      </c>
      <c r="N109" s="615"/>
      <c r="O109" s="635"/>
      <c r="P109" s="635"/>
      <c r="Q109" s="636"/>
      <c r="R109" s="637"/>
    </row>
    <row r="110" spans="2:26" s="627" customFormat="1" ht="20.100000000000001" customHeight="1" x14ac:dyDescent="0.3">
      <c r="B110" s="929"/>
      <c r="C110" s="612"/>
      <c r="E110" s="1194" t="s">
        <v>809</v>
      </c>
      <c r="F110" s="1195"/>
      <c r="G110" s="1183">
        <f>G26+G36</f>
        <v>3228840.46</v>
      </c>
      <c r="H110" s="1183">
        <f>H26+H36</f>
        <v>3715294.0784000005</v>
      </c>
      <c r="I110" s="1183">
        <f>I26+I36</f>
        <v>3863313.8415360008</v>
      </c>
      <c r="J110" s="1183">
        <f>J26+J36</f>
        <v>4016806.3951974409</v>
      </c>
      <c r="K110" s="1183">
        <f>K26+K36</f>
        <v>4175786.6510053384</v>
      </c>
      <c r="L110" s="1183"/>
      <c r="M110" s="1207">
        <f t="shared" si="16"/>
        <v>19000041.426138781</v>
      </c>
      <c r="N110" s="615"/>
      <c r="O110" s="635"/>
      <c r="P110" s="635"/>
      <c r="Q110" s="636"/>
      <c r="R110" s="637"/>
    </row>
    <row r="111" spans="2:26" s="627" customFormat="1" ht="20.100000000000001" customHeight="1" x14ac:dyDescent="0.3">
      <c r="B111" s="929"/>
      <c r="C111" s="612"/>
      <c r="E111" s="1196" t="s">
        <v>810</v>
      </c>
      <c r="F111" s="692"/>
      <c r="G111" s="800">
        <f>+G40</f>
        <v>11539836.446192458</v>
      </c>
      <c r="H111" s="800">
        <f>+H40</f>
        <v>12124098.384040158</v>
      </c>
      <c r="I111" s="800">
        <f>+I40</f>
        <v>12622370.959401764</v>
      </c>
      <c r="J111" s="800">
        <f>+J40</f>
        <v>13179328.471902635</v>
      </c>
      <c r="K111" s="800">
        <f>+K40</f>
        <v>13690860.253855862</v>
      </c>
      <c r="L111" s="800"/>
      <c r="M111" s="1151">
        <f t="shared" si="16"/>
        <v>63156494.515392877</v>
      </c>
      <c r="N111" s="615"/>
      <c r="O111" s="635"/>
      <c r="P111" s="635"/>
      <c r="Q111" s="636"/>
      <c r="R111" s="637"/>
    </row>
    <row r="112" spans="2:26" s="94" customFormat="1" ht="7.5" customHeight="1" x14ac:dyDescent="0.3">
      <c r="C112" s="612"/>
      <c r="D112" s="613"/>
      <c r="E112" s="614"/>
      <c r="F112" s="633"/>
      <c r="G112" s="641"/>
      <c r="H112" s="641"/>
      <c r="I112" s="641"/>
      <c r="J112" s="641"/>
      <c r="K112" s="641"/>
      <c r="L112" s="641"/>
      <c r="M112" s="641"/>
      <c r="N112" s="615"/>
      <c r="O112" s="635"/>
      <c r="P112" s="635"/>
      <c r="Q112" s="636"/>
      <c r="R112" s="637"/>
      <c r="S112" s="627"/>
      <c r="T112" s="627"/>
      <c r="U112" s="627"/>
      <c r="V112" s="627"/>
      <c r="W112" s="627"/>
      <c r="X112" s="627"/>
      <c r="Y112" s="627"/>
      <c r="Z112" s="627"/>
    </row>
    <row r="113" spans="3:27" s="94" customFormat="1" ht="20.100000000000001" customHeight="1" x14ac:dyDescent="0.3">
      <c r="C113" s="612"/>
      <c r="D113" s="613"/>
      <c r="E113" s="1208" t="s">
        <v>816</v>
      </c>
      <c r="F113" s="1209"/>
      <c r="G113" s="1215">
        <f>G102-G106</f>
        <v>935638.01380754262</v>
      </c>
      <c r="H113" s="1215">
        <f t="shared" ref="H113:K113" si="19">H102-H106</f>
        <v>-1291305.3056401573</v>
      </c>
      <c r="I113" s="1215">
        <f t="shared" si="19"/>
        <v>-1539457.1178657636</v>
      </c>
      <c r="J113" s="1215">
        <f t="shared" si="19"/>
        <v>-2058522.0767051941</v>
      </c>
      <c r="K113" s="1215">
        <f t="shared" si="19"/>
        <v>-2151973.6028505228</v>
      </c>
      <c r="L113" s="1215"/>
      <c r="M113" s="1216">
        <f t="shared" ref="M113:M118" si="20">SUM(G113:K113)</f>
        <v>-6105620.0892540952</v>
      </c>
      <c r="N113" s="615"/>
      <c r="O113" s="635"/>
      <c r="P113" s="635"/>
      <c r="Q113" s="636"/>
      <c r="R113" s="637"/>
      <c r="S113" s="627"/>
      <c r="T113" s="627"/>
      <c r="U113" s="627"/>
      <c r="V113" s="627"/>
      <c r="W113" s="627"/>
      <c r="X113" s="627"/>
      <c r="Y113" s="627"/>
      <c r="Z113" s="627"/>
    </row>
    <row r="114" spans="3:27" s="94" customFormat="1" ht="20.100000000000001" customHeight="1" x14ac:dyDescent="0.3">
      <c r="C114" s="612"/>
      <c r="D114" s="613"/>
      <c r="E114" s="1210" t="s">
        <v>817</v>
      </c>
      <c r="F114" s="1211"/>
      <c r="G114" s="1217">
        <f>G102-G109</f>
        <v>469738.01380754262</v>
      </c>
      <c r="H114" s="1217">
        <f t="shared" ref="H114:K114" si="21">H102-H109</f>
        <v>-1913105.3056401573</v>
      </c>
      <c r="I114" s="1217">
        <f t="shared" si="21"/>
        <v>-2743757.1178657636</v>
      </c>
      <c r="J114" s="1217">
        <f t="shared" si="21"/>
        <v>-3307522.076705195</v>
      </c>
      <c r="K114" s="1217">
        <f t="shared" si="21"/>
        <v>-3445473.6028505228</v>
      </c>
      <c r="L114" s="1217"/>
      <c r="M114" s="1218">
        <f t="shared" si="20"/>
        <v>-10940120.089254096</v>
      </c>
      <c r="N114" s="615"/>
      <c r="O114" s="635"/>
      <c r="P114" s="635"/>
      <c r="Q114" s="636"/>
      <c r="R114" s="637"/>
      <c r="S114" s="627"/>
      <c r="T114" s="627"/>
      <c r="U114" s="627"/>
      <c r="V114" s="627"/>
      <c r="W114" s="627"/>
      <c r="X114" s="627"/>
      <c r="Y114" s="627"/>
      <c r="Z114" s="627"/>
    </row>
    <row r="115" spans="3:27" s="94" customFormat="1" ht="20.100000000000001" customHeight="1" x14ac:dyDescent="0.3">
      <c r="C115" s="612"/>
      <c r="D115" s="613"/>
      <c r="E115" s="1212" t="s">
        <v>818</v>
      </c>
      <c r="F115" s="1213"/>
      <c r="G115" s="1219">
        <f>G103-G107</f>
        <v>58883.540000000037</v>
      </c>
      <c r="H115" s="1219">
        <f t="shared" ref="H115:K115" si="22">H103-H107</f>
        <v>-678994.07840000046</v>
      </c>
      <c r="I115" s="1219">
        <f t="shared" si="22"/>
        <v>-792313.84153600084</v>
      </c>
      <c r="J115" s="1219">
        <f t="shared" si="22"/>
        <v>-932006.39519744087</v>
      </c>
      <c r="K115" s="1219">
        <f t="shared" si="22"/>
        <v>-1077286.6510053384</v>
      </c>
      <c r="L115" s="1219"/>
      <c r="M115" s="1220">
        <f t="shared" si="20"/>
        <v>-3421717.4261387805</v>
      </c>
      <c r="N115" s="615"/>
      <c r="O115" s="635"/>
      <c r="P115" s="635"/>
      <c r="Q115" s="636"/>
      <c r="R115" s="637"/>
      <c r="S115" s="627"/>
      <c r="T115" s="627"/>
      <c r="U115" s="627"/>
      <c r="V115" s="627"/>
      <c r="W115" s="627"/>
      <c r="X115" s="627"/>
      <c r="Y115" s="627"/>
      <c r="Z115" s="627"/>
    </row>
    <row r="116" spans="3:27" s="94" customFormat="1" ht="20.100000000000001" customHeight="1" x14ac:dyDescent="0.3">
      <c r="C116" s="612"/>
      <c r="D116" s="613"/>
      <c r="E116" s="1212" t="s">
        <v>819</v>
      </c>
      <c r="F116" s="1213"/>
      <c r="G116" s="1219">
        <f>G103-G110</f>
        <v>58883.540000000037</v>
      </c>
      <c r="H116" s="1219">
        <f t="shared" ref="H116:K116" si="23">H103-H110</f>
        <v>-1036294.0784000005</v>
      </c>
      <c r="I116" s="1219">
        <f t="shared" si="23"/>
        <v>-1163313.8415360008</v>
      </c>
      <c r="J116" s="1219">
        <f t="shared" si="23"/>
        <v>-1316806.3951974409</v>
      </c>
      <c r="K116" s="1219">
        <f t="shared" si="23"/>
        <v>-1475786.6510053384</v>
      </c>
      <c r="L116" s="1219"/>
      <c r="M116" s="1220">
        <f t="shared" si="20"/>
        <v>-4933317.426138781</v>
      </c>
      <c r="N116" s="615"/>
      <c r="O116" s="635"/>
      <c r="P116" s="635"/>
      <c r="Q116" s="636"/>
      <c r="R116" s="637"/>
      <c r="S116" s="627"/>
      <c r="T116" s="627"/>
      <c r="U116" s="627"/>
      <c r="V116" s="627"/>
      <c r="W116" s="627"/>
      <c r="X116" s="627"/>
      <c r="Y116" s="627"/>
      <c r="Z116" s="627"/>
    </row>
    <row r="117" spans="3:27" s="94" customFormat="1" ht="20.100000000000001" customHeight="1" x14ac:dyDescent="0.3">
      <c r="C117" s="612"/>
      <c r="D117" s="613"/>
      <c r="E117" s="1205" t="s">
        <v>820</v>
      </c>
      <c r="F117" s="1214"/>
      <c r="G117" s="1221">
        <f>G104-G108</f>
        <v>994521.55380754173</v>
      </c>
      <c r="H117" s="1221">
        <f t="shared" ref="H117:K117" si="24">H104-H108</f>
        <v>-1970299.3840401582</v>
      </c>
      <c r="I117" s="1221">
        <f t="shared" si="24"/>
        <v>-2331770.959401764</v>
      </c>
      <c r="J117" s="1221">
        <f t="shared" si="24"/>
        <v>-2990528.4719026349</v>
      </c>
      <c r="K117" s="1221">
        <f t="shared" si="24"/>
        <v>-3229260.2538558617</v>
      </c>
      <c r="L117" s="1221"/>
      <c r="M117" s="1222">
        <f t="shared" si="20"/>
        <v>-9527337.5153928772</v>
      </c>
      <c r="N117" s="615"/>
      <c r="O117" s="635"/>
      <c r="P117" s="635"/>
      <c r="Q117" s="636"/>
      <c r="R117" s="637"/>
      <c r="S117" s="627"/>
      <c r="T117" s="627"/>
      <c r="U117" s="627"/>
      <c r="V117" s="627"/>
      <c r="W117" s="627"/>
      <c r="X117" s="627"/>
      <c r="Y117" s="627"/>
      <c r="Z117" s="627"/>
    </row>
    <row r="118" spans="3:27" s="94" customFormat="1" ht="20.100000000000001" customHeight="1" x14ac:dyDescent="0.3">
      <c r="C118" s="612"/>
      <c r="D118" s="619"/>
      <c r="E118" s="1203" t="s">
        <v>821</v>
      </c>
      <c r="F118" s="1204"/>
      <c r="G118" s="1223">
        <f>G104-G111</f>
        <v>528621.55380754173</v>
      </c>
      <c r="H118" s="1223">
        <f t="shared" ref="H118:K118" si="25">H104-H111</f>
        <v>-2592099.3840401582</v>
      </c>
      <c r="I118" s="1223">
        <f t="shared" si="25"/>
        <v>-3536070.959401764</v>
      </c>
      <c r="J118" s="1223">
        <f t="shared" si="25"/>
        <v>-4239528.4719026349</v>
      </c>
      <c r="K118" s="1223">
        <f t="shared" si="25"/>
        <v>-4522760.2538558617</v>
      </c>
      <c r="L118" s="1223"/>
      <c r="M118" s="1224">
        <f t="shared" si="20"/>
        <v>-14361837.515392877</v>
      </c>
      <c r="N118" s="615"/>
      <c r="O118" s="616"/>
      <c r="P118" s="635"/>
      <c r="Q118" s="636"/>
      <c r="R118" s="637"/>
      <c r="S118" s="627"/>
      <c r="T118" s="627"/>
      <c r="U118" s="627"/>
      <c r="V118" s="627"/>
      <c r="W118" s="627"/>
      <c r="X118" s="627"/>
      <c r="Y118" s="627"/>
      <c r="Z118" s="627"/>
    </row>
    <row r="119" spans="3:27" s="94" customFormat="1" ht="9.9" customHeight="1" thickBot="1" x14ac:dyDescent="0.35">
      <c r="C119" s="642"/>
      <c r="D119" s="643"/>
      <c r="E119" s="644"/>
      <c r="F119" s="645"/>
      <c r="G119" s="645"/>
      <c r="H119" s="645"/>
      <c r="I119" s="645"/>
      <c r="J119" s="645"/>
      <c r="K119" s="646"/>
      <c r="L119" s="646"/>
      <c r="M119" s="646"/>
      <c r="N119" s="1246"/>
      <c r="O119" s="647"/>
      <c r="P119" s="647"/>
      <c r="Q119" s="648"/>
      <c r="R119" s="649"/>
      <c r="S119" s="627"/>
      <c r="T119" s="627"/>
      <c r="U119" s="627"/>
      <c r="V119" s="627"/>
      <c r="W119" s="627"/>
    </row>
    <row r="120" spans="3:27" s="94" customFormat="1" ht="2.25" customHeight="1" x14ac:dyDescent="0.3">
      <c r="C120" s="608"/>
      <c r="D120" s="517"/>
      <c r="E120" s="614"/>
      <c r="F120" s="609"/>
      <c r="G120" s="609"/>
      <c r="H120" s="609"/>
      <c r="I120" s="609"/>
      <c r="J120" s="609"/>
      <c r="K120" s="650"/>
      <c r="L120" s="650"/>
      <c r="M120" s="650"/>
      <c r="N120" s="615"/>
      <c r="O120" s="485"/>
      <c r="P120" s="485"/>
      <c r="Q120" s="486"/>
      <c r="R120" s="611"/>
      <c r="S120" s="627"/>
      <c r="T120" s="627"/>
      <c r="U120" s="627"/>
      <c r="V120" s="627"/>
      <c r="W120" s="627"/>
    </row>
    <row r="121" spans="3:27" s="94" customFormat="1" ht="13.5" customHeight="1" x14ac:dyDescent="0.3">
      <c r="C121" s="608"/>
      <c r="D121" s="517"/>
      <c r="E121" s="651" t="s">
        <v>355</v>
      </c>
      <c r="F121" s="609"/>
      <c r="G121" s="650"/>
      <c r="H121" s="650"/>
      <c r="I121" s="650"/>
      <c r="J121" s="650"/>
      <c r="K121" s="650"/>
      <c r="L121" s="650"/>
      <c r="M121" s="652"/>
      <c r="N121" s="653"/>
      <c r="O121" s="485"/>
      <c r="P121" s="485"/>
      <c r="Q121" s="486"/>
      <c r="R121" s="611"/>
      <c r="S121" s="627"/>
      <c r="T121" s="627"/>
      <c r="U121" s="627"/>
      <c r="V121" s="627"/>
      <c r="W121" s="627"/>
    </row>
    <row r="122" spans="3:27" s="94" customFormat="1" ht="13.5" customHeight="1" x14ac:dyDescent="0.3">
      <c r="C122" s="608"/>
      <c r="D122" s="517"/>
      <c r="E122" s="651" t="s">
        <v>356</v>
      </c>
      <c r="F122" s="609"/>
      <c r="G122" s="650"/>
      <c r="H122" s="650"/>
      <c r="I122" s="650"/>
      <c r="J122" s="650"/>
      <c r="K122" s="650"/>
      <c r="L122" s="650"/>
      <c r="M122" s="652"/>
      <c r="N122" s="653"/>
      <c r="O122" s="485"/>
      <c r="P122" s="485"/>
      <c r="Q122" s="486"/>
      <c r="R122" s="611"/>
      <c r="S122" s="627"/>
      <c r="T122" s="627"/>
      <c r="U122" s="627"/>
      <c r="V122" s="627"/>
      <c r="W122" s="627"/>
    </row>
    <row r="123" spans="3:27" s="94" customFormat="1" ht="13.5" customHeight="1" x14ac:dyDescent="0.3">
      <c r="C123" s="608"/>
      <c r="D123" s="517"/>
      <c r="E123" s="651" t="s">
        <v>357</v>
      </c>
      <c r="F123" s="609"/>
      <c r="G123" s="650"/>
      <c r="H123" s="650"/>
      <c r="I123" s="650"/>
      <c r="J123" s="650"/>
      <c r="K123" s="650"/>
      <c r="L123" s="650"/>
      <c r="M123" s="652"/>
      <c r="N123" s="615"/>
      <c r="O123" s="485"/>
      <c r="P123" s="485"/>
      <c r="Q123" s="486"/>
      <c r="R123" s="611"/>
      <c r="S123" s="627"/>
      <c r="T123" s="627"/>
      <c r="U123" s="627"/>
      <c r="V123" s="627"/>
      <c r="W123" s="627"/>
    </row>
    <row r="124" spans="3:27" s="94" customFormat="1" ht="13.5" customHeight="1" x14ac:dyDescent="0.3">
      <c r="C124" s="608"/>
      <c r="D124" s="517"/>
      <c r="E124" s="651" t="s">
        <v>315</v>
      </c>
      <c r="F124" s="609"/>
      <c r="G124" s="650"/>
      <c r="H124" s="650"/>
      <c r="I124" s="650"/>
      <c r="J124" s="650"/>
      <c r="K124" s="650"/>
      <c r="L124" s="650"/>
      <c r="M124" s="652"/>
      <c r="N124" s="653"/>
      <c r="O124" s="485"/>
      <c r="P124" s="485"/>
      <c r="Q124" s="486"/>
      <c r="R124" s="611"/>
      <c r="S124" s="627"/>
      <c r="T124" s="627"/>
      <c r="U124" s="627"/>
      <c r="V124" s="627"/>
      <c r="W124" s="627"/>
    </row>
    <row r="125" spans="3:27" s="94" customFormat="1" ht="13.5" customHeight="1" x14ac:dyDescent="0.3">
      <c r="C125" s="608"/>
      <c r="D125" s="517"/>
      <c r="E125" s="651" t="s">
        <v>358</v>
      </c>
      <c r="F125" s="609"/>
      <c r="G125" s="650"/>
      <c r="H125" s="650"/>
      <c r="I125" s="650"/>
      <c r="J125" s="650"/>
      <c r="K125" s="650"/>
      <c r="L125" s="650"/>
      <c r="M125" s="652"/>
      <c r="N125" s="653"/>
      <c r="O125" s="485"/>
      <c r="P125" s="485"/>
      <c r="Q125" s="486"/>
      <c r="R125" s="611"/>
      <c r="S125" s="627"/>
      <c r="T125" s="671"/>
      <c r="U125" s="671"/>
      <c r="V125" s="671"/>
      <c r="W125" s="671"/>
      <c r="X125" s="627"/>
      <c r="Y125" s="627"/>
      <c r="Z125" s="627"/>
      <c r="AA125" s="627"/>
    </row>
    <row r="126" spans="3:27" s="94" customFormat="1" ht="13.5" customHeight="1" x14ac:dyDescent="0.3">
      <c r="C126" s="608"/>
      <c r="D126" s="517"/>
      <c r="E126" s="651" t="s">
        <v>760</v>
      </c>
      <c r="F126" s="609"/>
      <c r="G126" s="650"/>
      <c r="H126" s="650"/>
      <c r="I126" s="650"/>
      <c r="J126" s="650"/>
      <c r="K126" s="650"/>
      <c r="L126" s="650"/>
      <c r="M126" s="652"/>
      <c r="N126" s="653"/>
      <c r="O126" s="485"/>
      <c r="P126" s="485"/>
      <c r="Q126" s="486"/>
      <c r="R126" s="611"/>
      <c r="S126" s="627"/>
      <c r="T126" s="671"/>
      <c r="U126" s="671"/>
      <c r="V126" s="671"/>
      <c r="W126" s="671"/>
      <c r="X126" s="627"/>
      <c r="Y126" s="627"/>
      <c r="Z126" s="627"/>
      <c r="AA126" s="627"/>
    </row>
    <row r="127" spans="3:27" s="94" customFormat="1" ht="13.5" customHeight="1" x14ac:dyDescent="0.3">
      <c r="C127" s="608"/>
      <c r="D127" s="517"/>
      <c r="E127" s="651" t="s">
        <v>761</v>
      </c>
      <c r="F127" s="609"/>
      <c r="G127" s="650"/>
      <c r="H127" s="650"/>
      <c r="I127" s="650"/>
      <c r="J127" s="650"/>
      <c r="K127" s="650"/>
      <c r="L127" s="650"/>
      <c r="M127" s="652"/>
      <c r="N127" s="653"/>
      <c r="O127" s="485"/>
      <c r="P127" s="485"/>
      <c r="Q127" s="486"/>
      <c r="R127" s="611"/>
      <c r="S127" s="627"/>
      <c r="T127" s="671"/>
      <c r="U127" s="671"/>
      <c r="V127" s="671"/>
      <c r="W127" s="671"/>
      <c r="X127" s="627"/>
      <c r="Y127" s="627"/>
      <c r="Z127" s="627"/>
      <c r="AA127" s="627"/>
    </row>
    <row r="128" spans="3:27" s="94" customFormat="1" ht="13.5" customHeight="1" x14ac:dyDescent="0.3">
      <c r="C128" s="608"/>
      <c r="D128" s="517"/>
      <c r="E128" s="651" t="s">
        <v>762</v>
      </c>
      <c r="F128" s="609"/>
      <c r="G128" s="650"/>
      <c r="H128" s="650"/>
      <c r="I128" s="650"/>
      <c r="J128" s="650"/>
      <c r="K128" s="650"/>
      <c r="L128" s="650"/>
      <c r="M128" s="652"/>
      <c r="N128" s="653"/>
      <c r="O128" s="485"/>
      <c r="P128" s="485"/>
      <c r="Q128" s="486"/>
      <c r="R128" s="611"/>
      <c r="S128" s="627"/>
      <c r="T128" s="671"/>
      <c r="U128" s="671"/>
      <c r="V128" s="671"/>
      <c r="W128" s="671"/>
      <c r="X128" s="627"/>
      <c r="Y128" s="627"/>
      <c r="Z128" s="627"/>
      <c r="AA128" s="627"/>
    </row>
    <row r="129" spans="2:27" s="94" customFormat="1" ht="2.25" customHeight="1" thickBot="1" x14ac:dyDescent="0.35">
      <c r="C129" s="642"/>
      <c r="D129" s="643"/>
      <c r="E129" s="654"/>
      <c r="F129" s="643"/>
      <c r="G129" s="643"/>
      <c r="H129" s="643"/>
      <c r="I129" s="643"/>
      <c r="J129" s="643"/>
      <c r="K129" s="655"/>
      <c r="L129" s="655"/>
      <c r="M129" s="656"/>
      <c r="N129" s="657"/>
      <c r="O129" s="647"/>
      <c r="P129" s="647"/>
      <c r="Q129" s="648"/>
      <c r="R129" s="649"/>
      <c r="S129" s="627"/>
      <c r="T129" s="671"/>
      <c r="U129" s="671"/>
      <c r="V129" s="671"/>
      <c r="W129" s="671"/>
      <c r="X129" s="627"/>
      <c r="Y129" s="627"/>
      <c r="Z129" s="627"/>
      <c r="AA129" s="627"/>
    </row>
    <row r="130" spans="2:27" s="94" customFormat="1" x14ac:dyDescent="0.3">
      <c r="O130" s="485"/>
      <c r="P130" s="485"/>
      <c r="Q130" s="486"/>
      <c r="R130" s="486"/>
    </row>
    <row r="131" spans="2:27" s="94" customFormat="1" x14ac:dyDescent="0.3">
      <c r="O131" s="485"/>
      <c r="P131" s="485"/>
      <c r="Q131" s="486"/>
      <c r="R131" s="486"/>
    </row>
    <row r="132" spans="2:27" s="94" customFormat="1" x14ac:dyDescent="0.3">
      <c r="O132" s="485"/>
      <c r="P132" s="485"/>
      <c r="Q132" s="486"/>
      <c r="R132" s="486"/>
    </row>
    <row r="133" spans="2:27" s="94" customFormat="1" hidden="1" x14ac:dyDescent="0.3">
      <c r="O133" s="485"/>
      <c r="P133" s="485"/>
      <c r="Q133" s="486"/>
      <c r="R133" s="486"/>
    </row>
    <row r="134" spans="2:27" s="94" customFormat="1" hidden="1" x14ac:dyDescent="0.3">
      <c r="O134" s="485"/>
      <c r="P134" s="485"/>
      <c r="Q134" s="486"/>
      <c r="R134" s="486"/>
    </row>
    <row r="135" spans="2:27" ht="15" hidden="1" customHeight="1" x14ac:dyDescent="0.3">
      <c r="B135" s="94"/>
      <c r="C135" s="94"/>
      <c r="D135" s="94"/>
      <c r="E135" t="s">
        <v>280</v>
      </c>
      <c r="G135" s="467">
        <v>1.02</v>
      </c>
      <c r="H135" s="467">
        <f>+G135*1.02</f>
        <v>1.0404</v>
      </c>
      <c r="I135" s="467">
        <f>+H135*1.02</f>
        <v>1.0612079999999999</v>
      </c>
      <c r="J135" s="467">
        <f>+I135*1.02</f>
        <v>1.08243216</v>
      </c>
      <c r="K135" s="467">
        <f>+J135*1.02</f>
        <v>1.1040808032</v>
      </c>
      <c r="N135" s="94"/>
      <c r="O135" s="485"/>
      <c r="P135" s="485"/>
      <c r="Q135" s="486"/>
    </row>
    <row r="136" spans="2:27" ht="15" hidden="1" customHeight="1" thickBot="1" x14ac:dyDescent="0.35">
      <c r="B136" s="94"/>
      <c r="C136" s="94"/>
      <c r="D136" s="94"/>
      <c r="G136" s="467"/>
      <c r="H136" s="467"/>
      <c r="I136" s="467"/>
      <c r="J136" s="467"/>
      <c r="K136" s="467"/>
      <c r="N136" s="94"/>
      <c r="O136" s="485"/>
      <c r="P136" s="485"/>
      <c r="Q136" s="486"/>
    </row>
    <row r="137" spans="2:27" ht="18" hidden="1" x14ac:dyDescent="0.35">
      <c r="B137" s="94"/>
      <c r="D137" s="374" t="s">
        <v>394</v>
      </c>
      <c r="P137" s="943" t="s">
        <v>401</v>
      </c>
      <c r="Q137" s="944"/>
      <c r="R137" s="945"/>
    </row>
    <row r="138" spans="2:27" hidden="1" x14ac:dyDescent="0.3">
      <c r="B138" s="94"/>
      <c r="P138" s="946"/>
      <c r="Q138" s="947" t="s">
        <v>148</v>
      </c>
      <c r="R138" s="948" t="s">
        <v>212</v>
      </c>
    </row>
    <row r="139" spans="2:27" ht="15.6" hidden="1" x14ac:dyDescent="0.3">
      <c r="B139" s="94"/>
      <c r="D139" s="939" t="s">
        <v>390</v>
      </c>
      <c r="E139" s="938"/>
      <c r="F139" s="938"/>
      <c r="G139" s="505" t="s">
        <v>210</v>
      </c>
      <c r="H139" s="505" t="s">
        <v>227</v>
      </c>
      <c r="I139" s="505" t="s">
        <v>228</v>
      </c>
      <c r="J139" s="505" t="s">
        <v>229</v>
      </c>
      <c r="K139" s="505" t="s">
        <v>230</v>
      </c>
      <c r="P139" s="949" t="s">
        <v>396</v>
      </c>
      <c r="Q139" s="950">
        <f>SUM(G60:G65)</f>
        <v>4940805</v>
      </c>
      <c r="R139" s="951">
        <v>0</v>
      </c>
    </row>
    <row r="140" spans="2:27" ht="15" hidden="1" thickBot="1" x14ac:dyDescent="0.35">
      <c r="B140" s="94"/>
      <c r="P140" s="952" t="s">
        <v>196</v>
      </c>
      <c r="Q140" s="953">
        <f>SUM(G66,G67,G72:G82)</f>
        <v>3839929</v>
      </c>
      <c r="R140" s="954">
        <f>SUM(G85:G95)</f>
        <v>3287724</v>
      </c>
    </row>
    <row r="141" spans="2:27" hidden="1" x14ac:dyDescent="0.3">
      <c r="B141" s="94"/>
      <c r="D141" s="965" t="s">
        <v>369</v>
      </c>
      <c r="E141" s="914" t="s">
        <v>393</v>
      </c>
      <c r="F141" s="914"/>
      <c r="G141" s="966">
        <f>'Operating Stats'!$E$7*G135</f>
        <v>10961.94</v>
      </c>
      <c r="H141" s="966">
        <f>'Operating Stats'!$E$7*H135</f>
        <v>11181.1788</v>
      </c>
      <c r="I141" s="966">
        <f>'Operating Stats'!$E$7*I135</f>
        <v>11404.802376</v>
      </c>
      <c r="J141" s="966">
        <f>'Operating Stats'!$E$7*J135</f>
        <v>11632.898423520001</v>
      </c>
      <c r="K141" s="966">
        <f>'Operating Stats'!$E$7*K135</f>
        <v>11865.5563919904</v>
      </c>
      <c r="P141" s="941"/>
    </row>
    <row r="142" spans="2:27" ht="15" hidden="1" thickBot="1" x14ac:dyDescent="0.35">
      <c r="B142" s="94"/>
      <c r="E142" s="824" t="s">
        <v>384</v>
      </c>
      <c r="F142" s="824"/>
      <c r="G142" s="971">
        <f>('Operating Stats'!$F$7*G2)+('Operating Stats'!$G$7*G3)+(G19*'Operating Stats'!$G$7/$B$6)</f>
        <v>613804.922300915</v>
      </c>
      <c r="H142" s="971">
        <f>('Operating Stats'!$F$7*H2)+('Operating Stats'!$G$7*H3)+(H19*'Operating Stats'!$G$7/$B$6)</f>
        <v>638357.11919295159</v>
      </c>
      <c r="I142" s="971">
        <f>('Operating Stats'!$F$7*I2)+('Operating Stats'!$G$7*I3)+(I19*'Operating Stats'!$G$7/$B$6)</f>
        <v>663891.40396066976</v>
      </c>
      <c r="J142" s="971">
        <f>('Operating Stats'!$F$7*J2)+('Operating Stats'!$G$7*J3)+(J19*'Operating Stats'!$G$7/$B$6)</f>
        <v>696820.47032069648</v>
      </c>
      <c r="K142" s="971">
        <f>('Operating Stats'!$F$7*K2)+('Operating Stats'!$G$7*K3)+(K19*'Operating Stats'!$G$7/$B$6)</f>
        <v>723524.83059656434</v>
      </c>
    </row>
    <row r="143" spans="2:27" hidden="1" x14ac:dyDescent="0.3">
      <c r="B143" s="94"/>
      <c r="D143" s="927"/>
      <c r="E143" s="973" t="s">
        <v>391</v>
      </c>
      <c r="F143" s="973"/>
      <c r="G143" s="975">
        <f>G141*'Fare Rates'!$C$7</f>
        <v>0</v>
      </c>
      <c r="H143" s="975">
        <f>H141*'Fare Rates'!$C$7</f>
        <v>0</v>
      </c>
      <c r="I143" s="975">
        <f>I141*'Fare Rates'!$C$7</f>
        <v>0</v>
      </c>
      <c r="J143" s="975">
        <f>J141*'Fare Rates'!$C$7</f>
        <v>0</v>
      </c>
      <c r="K143" s="975">
        <f>K141*'Fare Rates'!$C$7</f>
        <v>0</v>
      </c>
      <c r="P143" s="943" t="s">
        <v>402</v>
      </c>
      <c r="Q143" s="944"/>
      <c r="R143" s="945"/>
    </row>
    <row r="144" spans="2:27" hidden="1" x14ac:dyDescent="0.3">
      <c r="B144" s="94"/>
      <c r="E144" s="968" t="s">
        <v>395</v>
      </c>
      <c r="F144" s="968"/>
      <c r="G144" s="969">
        <f>G142*0.5</f>
        <v>306902.4611504575</v>
      </c>
      <c r="H144" s="969">
        <f t="shared" ref="H144:K144" si="26">H142*0.5</f>
        <v>319178.5595964758</v>
      </c>
      <c r="I144" s="969">
        <f t="shared" si="26"/>
        <v>331945.70198033488</v>
      </c>
      <c r="J144" s="969">
        <f t="shared" si="26"/>
        <v>348410.23516034824</v>
      </c>
      <c r="K144" s="969">
        <f t="shared" si="26"/>
        <v>361762.41529828217</v>
      </c>
      <c r="Q144" s="941" t="s">
        <v>404</v>
      </c>
      <c r="R144" s="941" t="s">
        <v>403</v>
      </c>
    </row>
    <row r="145" spans="2:18" hidden="1" x14ac:dyDescent="0.3">
      <c r="B145" s="94"/>
      <c r="E145" s="968" t="s">
        <v>407</v>
      </c>
      <c r="F145" s="968"/>
      <c r="G145" s="970">
        <f>SUM($G$66,$G$67)/3*('Operating Stats'!F7/'Operating Stats'!F41)</f>
        <v>207821.51155155158</v>
      </c>
      <c r="H145" s="969"/>
      <c r="I145" s="969"/>
      <c r="J145" s="969"/>
      <c r="K145" s="969"/>
      <c r="P145" s="481" t="s">
        <v>386</v>
      </c>
      <c r="Q145" s="495">
        <f>SUM(G162,G177,G188,G198,G208)</f>
        <v>2827827.7984591434</v>
      </c>
      <c r="R145" s="942">
        <f>G60+G61+G62</f>
        <v>3111951</v>
      </c>
    </row>
    <row r="146" spans="2:18" hidden="1" x14ac:dyDescent="0.3">
      <c r="B146" s="94"/>
      <c r="E146" s="957" t="s">
        <v>416</v>
      </c>
      <c r="G146" s="979">
        <f>-G142+G143+G144+G145</f>
        <v>-99080.949598905921</v>
      </c>
      <c r="H146" s="979"/>
      <c r="I146" s="979"/>
      <c r="J146" s="979"/>
      <c r="K146" s="979"/>
      <c r="P146" s="481" t="s">
        <v>385</v>
      </c>
      <c r="Q146" s="495">
        <f>SUM(G144,G153)</f>
        <v>912052.60744911281</v>
      </c>
      <c r="R146" s="942">
        <f>G65</f>
        <v>1798577</v>
      </c>
    </row>
    <row r="147" spans="2:18" hidden="1" x14ac:dyDescent="0.3">
      <c r="B147" s="94"/>
      <c r="E147" s="454" t="s">
        <v>398</v>
      </c>
      <c r="P147" s="481" t="s">
        <v>389</v>
      </c>
      <c r="Q147" s="495">
        <f>G207</f>
        <v>30277</v>
      </c>
      <c r="R147" s="942">
        <f>G63+G64</f>
        <v>30277</v>
      </c>
    </row>
    <row r="148" spans="2:18" hidden="1" x14ac:dyDescent="0.3">
      <c r="B148" s="94"/>
      <c r="E148" s="454" t="s">
        <v>399</v>
      </c>
      <c r="P148" s="481" t="s">
        <v>412</v>
      </c>
      <c r="Q148" s="495">
        <f>SUM(G145,G154)</f>
        <v>615042.33333333349</v>
      </c>
      <c r="R148" s="942">
        <f>($G$66+$G$67)*0.33333333</f>
        <v>615042.32718290994</v>
      </c>
    </row>
    <row r="149" spans="2:18" hidden="1" x14ac:dyDescent="0.3">
      <c r="B149" s="94"/>
      <c r="E149" t="s">
        <v>417</v>
      </c>
      <c r="G149" s="979"/>
      <c r="H149" s="979"/>
      <c r="I149" s="979"/>
      <c r="J149" s="979"/>
      <c r="K149" s="979"/>
      <c r="P149" s="481" t="s">
        <v>413</v>
      </c>
      <c r="Q149" s="495">
        <f>SUM(G178,G189,G199,G180,G201)</f>
        <v>1168089.6296253509</v>
      </c>
      <c r="R149" s="942">
        <f>($G$66+$G$67)*0.66666666</f>
        <v>1230084.6543658199</v>
      </c>
    </row>
    <row r="150" spans="2:18" hidden="1" x14ac:dyDescent="0.3">
      <c r="B150" s="94"/>
      <c r="D150" s="914">
        <v>22</v>
      </c>
      <c r="E150" s="914" t="s">
        <v>393</v>
      </c>
      <c r="F150" s="914"/>
      <c r="G150" s="966">
        <f>'Operating Stats'!$E$8*G135</f>
        <v>18826.14</v>
      </c>
      <c r="H150" s="966">
        <f>'Operating Stats'!$E$8*H135</f>
        <v>19202.662799999998</v>
      </c>
      <c r="I150" s="966">
        <f>'Operating Stats'!$E$8*I135</f>
        <v>19586.716055999997</v>
      </c>
      <c r="J150" s="966">
        <f>'Operating Stats'!$E$8*J135</f>
        <v>19978.45037712</v>
      </c>
      <c r="K150" s="966">
        <f>'Operating Stats'!$E$8*K135</f>
        <v>20378.019384662399</v>
      </c>
    </row>
    <row r="151" spans="2:18" hidden="1" x14ac:dyDescent="0.3">
      <c r="B151" s="94"/>
      <c r="E151" s="824" t="s">
        <v>384</v>
      </c>
      <c r="F151" s="824"/>
      <c r="G151" s="971">
        <f>('Operating Stats'!$F$8*G2)+('Operating Stats'!$G$8*G3)+(G19*'Operating Stats'!$G$8/$B$6)</f>
        <v>1210300.2925973106</v>
      </c>
      <c r="H151" s="971">
        <f>('Operating Stats'!$F$8*H2)+('Operating Stats'!$G$8*H3)+(H19*'Operating Stats'!$G$8/$B$6)</f>
        <v>1258712.304301203</v>
      </c>
      <c r="I151" s="971">
        <f>('Operating Stats'!$F$8*I2)+('Operating Stats'!$G$8*I3)+(I19*'Operating Stats'!$G$8/$B$6)</f>
        <v>1309060.7964732512</v>
      </c>
      <c r="J151" s="971">
        <f>('Operating Stats'!$F$8*J2)+('Operating Stats'!$G$8*J3)+(J19*'Operating Stats'!$G$8/$B$6)</f>
        <v>1374055.0011065812</v>
      </c>
      <c r="K151" s="971">
        <f>('Operating Stats'!$F$8*K2)+('Operating Stats'!$G$8*K3)+(K19*'Operating Stats'!$G$8/$B$6)</f>
        <v>1426701.3761422045</v>
      </c>
      <c r="Q151" s="958"/>
      <c r="R151" s="941"/>
    </row>
    <row r="152" spans="2:18" hidden="1" x14ac:dyDescent="0.3">
      <c r="B152" s="94"/>
      <c r="E152" s="973" t="s">
        <v>391</v>
      </c>
      <c r="F152" s="973"/>
      <c r="G152" s="975">
        <f>G150*'Fare Rates'!$C$7</f>
        <v>0</v>
      </c>
      <c r="H152" s="975">
        <f>H150*'Fare Rates'!$C$7</f>
        <v>0</v>
      </c>
      <c r="I152" s="975">
        <f>I150*'Fare Rates'!$C$7</f>
        <v>0</v>
      </c>
      <c r="J152" s="975">
        <f>J150*'Fare Rates'!$C$7</f>
        <v>0</v>
      </c>
      <c r="K152" s="975">
        <f>K150*'Fare Rates'!$C$7</f>
        <v>0</v>
      </c>
      <c r="Q152" s="958"/>
    </row>
    <row r="153" spans="2:18" hidden="1" x14ac:dyDescent="0.3">
      <c r="B153" s="94"/>
      <c r="E153" s="968" t="s">
        <v>395</v>
      </c>
      <c r="F153" s="968"/>
      <c r="G153" s="969">
        <f>G151*0.5</f>
        <v>605150.14629865531</v>
      </c>
      <c r="H153" s="969">
        <f t="shared" ref="H153:K153" si="27">H151*0.5</f>
        <v>629356.1521506015</v>
      </c>
      <c r="I153" s="969">
        <f t="shared" si="27"/>
        <v>654530.3982366256</v>
      </c>
      <c r="J153" s="969">
        <f t="shared" si="27"/>
        <v>687027.50055329059</v>
      </c>
      <c r="K153" s="969">
        <f t="shared" si="27"/>
        <v>713350.68807110225</v>
      </c>
    </row>
    <row r="154" spans="2:18" hidden="1" x14ac:dyDescent="0.3">
      <c r="B154" s="94"/>
      <c r="E154" s="968" t="s">
        <v>407</v>
      </c>
      <c r="F154" s="968"/>
      <c r="G154" s="970">
        <f>SUM($G$66,$G$67)/3*('Operating Stats'!F8/'Operating Stats'!F41)</f>
        <v>407220.82178178185</v>
      </c>
      <c r="H154" s="969"/>
      <c r="I154" s="969"/>
      <c r="J154" s="969"/>
      <c r="K154" s="969"/>
    </row>
    <row r="155" spans="2:18" hidden="1" x14ac:dyDescent="0.3">
      <c r="B155" s="94"/>
      <c r="E155" s="957" t="s">
        <v>416</v>
      </c>
      <c r="G155" s="979">
        <f>-G151+G152+G153+G154</f>
        <v>-197929.32451687346</v>
      </c>
      <c r="H155" s="979"/>
      <c r="I155" s="979"/>
      <c r="J155" s="979"/>
      <c r="K155" s="979"/>
    </row>
    <row r="156" spans="2:18" hidden="1" x14ac:dyDescent="0.3">
      <c r="B156" s="94"/>
      <c r="E156" s="454"/>
    </row>
    <row r="157" spans="2:18" hidden="1" x14ac:dyDescent="0.3">
      <c r="B157" s="94"/>
      <c r="E157" s="454"/>
      <c r="P157" s="956" t="s">
        <v>406</v>
      </c>
      <c r="Q157" s="956"/>
    </row>
    <row r="158" spans="2:18" hidden="1" x14ac:dyDescent="0.3">
      <c r="B158" s="94"/>
      <c r="E158" t="s">
        <v>417</v>
      </c>
      <c r="G158" s="979"/>
      <c r="H158" s="979"/>
      <c r="I158" s="979"/>
      <c r="J158" s="979"/>
      <c r="K158" s="979"/>
    </row>
    <row r="159" spans="2:18" hidden="1" x14ac:dyDescent="0.3">
      <c r="B159" s="94"/>
      <c r="D159" s="914">
        <v>28</v>
      </c>
      <c r="E159" s="914" t="s">
        <v>393</v>
      </c>
      <c r="F159" s="914"/>
      <c r="G159" s="966">
        <f>'Operating Stats'!$E$9*G135</f>
        <v>25192.98</v>
      </c>
      <c r="H159" s="966">
        <f>'Operating Stats'!$E$9*H135</f>
        <v>25696.839599999999</v>
      </c>
      <c r="I159" s="966">
        <f>'Operating Stats'!$E$9*I135</f>
        <v>26210.776392</v>
      </c>
      <c r="J159" s="966">
        <f>'Operating Stats'!$E$9*J135</f>
        <v>26734.991919839998</v>
      </c>
      <c r="K159" s="966">
        <f>'Operating Stats'!$E$9*K135</f>
        <v>27269.691758236801</v>
      </c>
    </row>
    <row r="160" spans="2:18" hidden="1" x14ac:dyDescent="0.3">
      <c r="B160" s="94"/>
      <c r="E160" s="824" t="s">
        <v>384</v>
      </c>
      <c r="F160" s="824"/>
      <c r="G160" s="972">
        <f>('Operating Stats'!$F$9*G2)+('Operating Stats'!$G$9*G3)+('Operating Stats'!$G$9/$B$6*G19)</f>
        <v>269366.12609469431</v>
      </c>
      <c r="H160" s="972">
        <f>('Operating Stats'!$F$9*H2)+('Operating Stats'!$G$9*H3)+('Operating Stats'!$G$9/$B$6*H19)</f>
        <v>280140.77113848215</v>
      </c>
      <c r="I160" s="972">
        <f>('Operating Stats'!$F$9*I2)+('Operating Stats'!$G$9*I3)+('Operating Stats'!$G$9/$B$6*I19)</f>
        <v>291346.40198402142</v>
      </c>
      <c r="J160" s="972">
        <f>('Operating Stats'!$F$9*J2)+('Operating Stats'!$G$9*J3)+('Operating Stats'!$G$9/$B$6*J19)</f>
        <v>305318.86235138227</v>
      </c>
      <c r="K160" s="972">
        <f>('Operating Stats'!$F$9*K2)+('Operating Stats'!$G$9*K3)+('Operating Stats'!$G$9/$B$6*K19)</f>
        <v>317106.53939263755</v>
      </c>
    </row>
    <row r="161" spans="2:11" hidden="1" x14ac:dyDescent="0.3">
      <c r="B161" s="94"/>
      <c r="E161" s="973" t="s">
        <v>391</v>
      </c>
      <c r="F161" s="973"/>
      <c r="G161" s="974">
        <f>G159*'Fare Rates'!$C$9</f>
        <v>0</v>
      </c>
      <c r="H161" s="974">
        <f>H159*'Fare Rates'!$C$9</f>
        <v>0</v>
      </c>
      <c r="I161" s="974">
        <f>I159*'Fare Rates'!$C$9</f>
        <v>0</v>
      </c>
      <c r="J161" s="974">
        <f>J159*'Fare Rates'!$C$9</f>
        <v>0</v>
      </c>
      <c r="K161" s="974">
        <f>K159*'Fare Rates'!$C$9</f>
        <v>0</v>
      </c>
    </row>
    <row r="162" spans="2:11" hidden="1" x14ac:dyDescent="0.3">
      <c r="B162" s="94"/>
      <c r="E162" s="968" t="s">
        <v>397</v>
      </c>
      <c r="F162" s="968"/>
      <c r="G162" s="969">
        <f>G160*0.5</f>
        <v>134683.06304734715</v>
      </c>
      <c r="H162" s="969">
        <f>H160*0.5</f>
        <v>140070.38556924107</v>
      </c>
      <c r="I162" s="969">
        <f t="shared" ref="I162:K162" si="28">I160*0.5</f>
        <v>145673.20099201071</v>
      </c>
      <c r="J162" s="969">
        <f t="shared" si="28"/>
        <v>152659.43117569113</v>
      </c>
      <c r="K162" s="969">
        <f t="shared" si="28"/>
        <v>158553.26969631878</v>
      </c>
    </row>
    <row r="163" spans="2:11" hidden="1" x14ac:dyDescent="0.3">
      <c r="B163" s="94"/>
      <c r="E163" s="968" t="s">
        <v>405</v>
      </c>
      <c r="F163" s="968"/>
      <c r="G163" s="970">
        <f>G76</f>
        <v>85000</v>
      </c>
      <c r="H163" s="970">
        <f>H76</f>
        <v>85000</v>
      </c>
      <c r="I163" s="970">
        <f>I76</f>
        <v>85000</v>
      </c>
      <c r="J163" s="970">
        <f>J76</f>
        <v>85000</v>
      </c>
      <c r="K163" s="970">
        <f>K76</f>
        <v>85000</v>
      </c>
    </row>
    <row r="164" spans="2:11" hidden="1" x14ac:dyDescent="0.3">
      <c r="B164" s="94"/>
      <c r="E164" s="957" t="s">
        <v>416</v>
      </c>
      <c r="G164" s="979">
        <f>-G160+G161+G162+G163</f>
        <v>-49683.063047347154</v>
      </c>
      <c r="H164" s="979"/>
      <c r="I164" s="979"/>
      <c r="J164" s="979"/>
      <c r="K164" s="979"/>
    </row>
    <row r="165" spans="2:11" hidden="1" x14ac:dyDescent="0.3">
      <c r="B165" s="94"/>
      <c r="E165" s="454"/>
    </row>
    <row r="166" spans="2:11" hidden="1" x14ac:dyDescent="0.3">
      <c r="B166" s="94"/>
      <c r="E166" s="454"/>
    </row>
    <row r="167" spans="2:11" hidden="1" x14ac:dyDescent="0.3">
      <c r="B167" s="94"/>
      <c r="E167" t="s">
        <v>417</v>
      </c>
      <c r="G167" s="979"/>
      <c r="H167" s="979"/>
      <c r="I167" s="979"/>
      <c r="J167" s="979"/>
      <c r="K167" s="979"/>
    </row>
    <row r="168" spans="2:11" hidden="1" x14ac:dyDescent="0.3">
      <c r="B168" s="94"/>
      <c r="D168" s="914">
        <v>30</v>
      </c>
      <c r="E168" s="914" t="s">
        <v>393</v>
      </c>
      <c r="F168" s="914"/>
      <c r="G168" s="966">
        <f>'Operating Stats'!$E$10*G135</f>
        <v>10914</v>
      </c>
      <c r="H168" s="966">
        <f>'Operating Stats'!$E$10*H135</f>
        <v>11132.28</v>
      </c>
      <c r="I168" s="966">
        <f>'Operating Stats'!$E$10*I135</f>
        <v>11354.925599999999</v>
      </c>
      <c r="J168" s="966">
        <f>'Operating Stats'!$E$10*J135</f>
        <v>11582.024111999999</v>
      </c>
      <c r="K168" s="966">
        <f>'Operating Stats'!$E$10*K135</f>
        <v>11813.664594240001</v>
      </c>
    </row>
    <row r="169" spans="2:11" hidden="1" x14ac:dyDescent="0.3">
      <c r="B169" s="94"/>
      <c r="E169" s="824" t="s">
        <v>384</v>
      </c>
      <c r="F169" s="824"/>
      <c r="G169" s="976">
        <f>G20</f>
        <v>517288</v>
      </c>
      <c r="H169" s="976">
        <f>H20</f>
        <v>523384</v>
      </c>
      <c r="I169" s="976">
        <f>H169*1.03</f>
        <v>539085.52</v>
      </c>
      <c r="J169" s="976">
        <f t="shared" ref="J169:K169" si="29">I169*1.03</f>
        <v>555258.08559999999</v>
      </c>
      <c r="K169" s="976">
        <f t="shared" si="29"/>
        <v>571915.82816799998</v>
      </c>
    </row>
    <row r="170" spans="2:11" hidden="1" x14ac:dyDescent="0.3">
      <c r="B170" s="94"/>
      <c r="E170" s="973" t="s">
        <v>391</v>
      </c>
      <c r="F170" s="973"/>
      <c r="G170" s="977">
        <f>G168*'Fare Rates'!$C$10</f>
        <v>54570</v>
      </c>
      <c r="H170" s="977">
        <f>H168*'Fare Rates'!$C$10</f>
        <v>55661.4</v>
      </c>
      <c r="I170" s="977">
        <f>I168*'Fare Rates'!$C$10</f>
        <v>56774.627999999997</v>
      </c>
      <c r="J170" s="977">
        <f>J168*'Fare Rates'!$C$10</f>
        <v>57910.120559999996</v>
      </c>
      <c r="K170" s="977">
        <f>K168*'Fare Rates'!$C$10</f>
        <v>59068.322971200003</v>
      </c>
    </row>
    <row r="171" spans="2:11" hidden="1" x14ac:dyDescent="0.3">
      <c r="B171" s="94"/>
      <c r="E171" s="968" t="s">
        <v>387</v>
      </c>
      <c r="F171" s="968"/>
      <c r="G171" s="970">
        <f>SUM(G79:G82)</f>
        <v>619796</v>
      </c>
      <c r="H171" s="970">
        <f>SUM(H79:H82)</f>
        <v>696599</v>
      </c>
      <c r="I171" s="968"/>
      <c r="J171" s="968"/>
      <c r="K171" s="968"/>
    </row>
    <row r="172" spans="2:11" hidden="1" x14ac:dyDescent="0.3">
      <c r="B172" s="94"/>
      <c r="E172" s="957" t="s">
        <v>409</v>
      </c>
      <c r="G172" s="979">
        <f>-G169+G170+G171</f>
        <v>157078</v>
      </c>
      <c r="H172" s="979">
        <f>-H169+H170+H171</f>
        <v>228876.40000000002</v>
      </c>
      <c r="I172" s="979"/>
      <c r="J172" s="979"/>
      <c r="K172" s="979"/>
    </row>
    <row r="173" spans="2:11" hidden="1" x14ac:dyDescent="0.3">
      <c r="B173" s="94"/>
      <c r="E173" t="s">
        <v>417</v>
      </c>
      <c r="G173" s="979"/>
      <c r="H173" s="979"/>
      <c r="I173" s="979"/>
      <c r="J173" s="979"/>
      <c r="K173" s="979"/>
    </row>
    <row r="174" spans="2:11" hidden="1" x14ac:dyDescent="0.3">
      <c r="B174" s="94"/>
      <c r="D174" s="914">
        <v>50</v>
      </c>
      <c r="E174" s="914" t="s">
        <v>393</v>
      </c>
      <c r="F174" s="914"/>
      <c r="G174" s="966">
        <f>'Operating Stats'!$E$11*G135</f>
        <v>173738.64</v>
      </c>
      <c r="H174" s="966">
        <f>'Operating Stats'!$E$11*H135</f>
        <v>177213.41279999999</v>
      </c>
      <c r="I174" s="966">
        <f>'Operating Stats'!$E$11*I135</f>
        <v>180757.681056</v>
      </c>
      <c r="J174" s="966">
        <f>'Operating Stats'!$E$11*J135</f>
        <v>184372.83467712</v>
      </c>
      <c r="K174" s="966">
        <f>'Operating Stats'!$E$11*K135</f>
        <v>188060.29137066239</v>
      </c>
    </row>
    <row r="175" spans="2:11" hidden="1" x14ac:dyDescent="0.3">
      <c r="B175" s="94"/>
      <c r="E175" s="824" t="s">
        <v>384</v>
      </c>
      <c r="F175" s="824"/>
      <c r="G175" s="972">
        <f>('Operating Stats'!$F$11*G2)+('Operating Stats'!$G$11*G3)+('Operating Stats'!$G$11/$B$6*G19)</f>
        <v>1898048.3450181931</v>
      </c>
      <c r="H175" s="972">
        <f>('Operating Stats'!$F$11*H2)+('Operating Stats'!$G$11*H3)+('Operating Stats'!$G$11/$B$6*H19)</f>
        <v>1973970.2788189212</v>
      </c>
      <c r="I175" s="972">
        <f>('Operating Stats'!$F$11*I2)+('Operating Stats'!$G$11*I3)+('Operating Stats'!$G$11/$B$6*I19)</f>
        <v>2052929.0899716779</v>
      </c>
      <c r="J175" s="972">
        <f>('Operating Stats'!$F$11*J2)+('Operating Stats'!$G$11*J3)+('Operating Stats'!$G$11/$B$6*J19)</f>
        <v>2149018.3104537451</v>
      </c>
      <c r="K175" s="972">
        <f>('Operating Stats'!$F$11*K2)+('Operating Stats'!$G$11*K3)+('Operating Stats'!$G$11/$B$6*K19)</f>
        <v>2232417.4991099751</v>
      </c>
    </row>
    <row r="176" spans="2:11" hidden="1" x14ac:dyDescent="0.3">
      <c r="B176" s="94"/>
      <c r="E176" s="973" t="s">
        <v>391</v>
      </c>
      <c r="F176" s="973"/>
      <c r="G176" s="974">
        <f>G174*'Fare Rates'!$C$6</f>
        <v>0</v>
      </c>
      <c r="H176" s="974">
        <f>H174*'Fare Rates'!$C$6</f>
        <v>0</v>
      </c>
      <c r="I176" s="974">
        <f>I174*'Fare Rates'!$C$6</f>
        <v>0</v>
      </c>
      <c r="J176" s="974">
        <f>J174*'Fare Rates'!$C$6</f>
        <v>0</v>
      </c>
      <c r="K176" s="974">
        <f>K174*'Fare Rates'!$C$6</f>
        <v>0</v>
      </c>
    </row>
    <row r="177" spans="2:16" hidden="1" x14ac:dyDescent="0.3">
      <c r="B177" s="94"/>
      <c r="E177" s="968" t="s">
        <v>397</v>
      </c>
      <c r="F177" s="968"/>
      <c r="G177" s="969">
        <f>G175*0.5</f>
        <v>949024.17250909656</v>
      </c>
      <c r="H177" s="978"/>
      <c r="I177" s="978"/>
      <c r="J177" s="978"/>
      <c r="K177" s="978"/>
    </row>
    <row r="178" spans="2:16" hidden="1" x14ac:dyDescent="0.3">
      <c r="B178" s="94"/>
      <c r="E178" s="968" t="s">
        <v>408</v>
      </c>
      <c r="F178" s="968"/>
      <c r="G178" s="970">
        <f>SUM($G$66,$G$67)*0.6666666*('Operating Stats'!F11/'Operating Stats'!F42)</f>
        <v>453992.99684159656</v>
      </c>
      <c r="H178" s="978"/>
      <c r="I178" s="978"/>
      <c r="J178" s="978"/>
      <c r="K178" s="978"/>
      <c r="M178" s="580"/>
    </row>
    <row r="179" spans="2:16" hidden="1" x14ac:dyDescent="0.3">
      <c r="B179" s="94"/>
      <c r="E179" s="957" t="s">
        <v>416</v>
      </c>
      <c r="G179" s="979">
        <f>-G175+G176+G177+G178</f>
        <v>-495031.17566750001</v>
      </c>
      <c r="H179" s="979"/>
      <c r="I179" s="979"/>
      <c r="J179" s="979"/>
      <c r="K179" s="979"/>
    </row>
    <row r="180" spans="2:16" hidden="1" x14ac:dyDescent="0.3">
      <c r="B180" s="94"/>
      <c r="E180" s="964" t="s">
        <v>414</v>
      </c>
      <c r="G180" s="580">
        <v>385000</v>
      </c>
      <c r="H180" s="97"/>
      <c r="I180" s="97"/>
      <c r="J180" s="97"/>
      <c r="K180" s="97"/>
    </row>
    <row r="181" spans="2:16" hidden="1" x14ac:dyDescent="0.3">
      <c r="B181" s="94"/>
      <c r="E181" s="964" t="s">
        <v>415</v>
      </c>
      <c r="G181" s="580">
        <f>G191</f>
        <v>113103.46212726732</v>
      </c>
      <c r="H181" s="97"/>
      <c r="I181" s="97"/>
      <c r="J181" s="97"/>
      <c r="K181" s="97"/>
    </row>
    <row r="182" spans="2:16" hidden="1" x14ac:dyDescent="0.3">
      <c r="B182" s="94"/>
      <c r="E182" s="454"/>
      <c r="H182" s="467"/>
      <c r="I182" s="467"/>
      <c r="J182" s="467"/>
      <c r="K182" s="467"/>
    </row>
    <row r="183" spans="2:16" hidden="1" x14ac:dyDescent="0.3">
      <c r="B183" s="94"/>
      <c r="E183" s="454"/>
    </row>
    <row r="184" spans="2:16" hidden="1" x14ac:dyDescent="0.3">
      <c r="B184" s="94"/>
      <c r="E184" t="s">
        <v>417</v>
      </c>
      <c r="G184" s="979">
        <f>G179+G180+G181</f>
        <v>3072.2864597673179</v>
      </c>
      <c r="H184" s="979"/>
      <c r="I184" s="979"/>
      <c r="J184" s="979"/>
      <c r="K184" s="979"/>
    </row>
    <row r="185" spans="2:16" hidden="1" x14ac:dyDescent="0.3">
      <c r="B185" s="94"/>
      <c r="D185" s="914">
        <v>51</v>
      </c>
      <c r="E185" s="914" t="s">
        <v>393</v>
      </c>
      <c r="F185" s="914"/>
      <c r="G185" s="967">
        <f>'Operating Stats'!$E$12*G135</f>
        <v>117.3</v>
      </c>
      <c r="H185" s="967">
        <f>'Operating Stats'!$E$12*H135</f>
        <v>119.646</v>
      </c>
      <c r="I185" s="967">
        <f>'Operating Stats'!$E$12*I135</f>
        <v>122.03891999999999</v>
      </c>
      <c r="J185" s="967">
        <f>'Operating Stats'!$E$12*J135</f>
        <v>124.4796984</v>
      </c>
      <c r="K185" s="967">
        <f>'Operating Stats'!$E$12*K135</f>
        <v>126.969292368</v>
      </c>
    </row>
    <row r="186" spans="2:16" hidden="1" x14ac:dyDescent="0.3">
      <c r="B186" s="94"/>
      <c r="E186" s="824" t="s">
        <v>384</v>
      </c>
      <c r="F186" s="824"/>
      <c r="G186" s="972">
        <f>('Operating Stats'!$F$12*G2)+('Operating Stats'!$G$12*G3)+('Operating Stats'!$G$12/$B$6*G19)</f>
        <v>29892.460043035393</v>
      </c>
      <c r="H186" s="972">
        <f>('Operating Stats'!$F$12*H2)+('Operating Stats'!$G$12*H3)+('Operating Stats'!$G$12/$B$6*H19)</f>
        <v>31088.158444756809</v>
      </c>
      <c r="I186" s="972">
        <f>('Operating Stats'!$F$12*I2)+('Operating Stats'!$G$12*I3)+('Operating Stats'!$G$12/$B$6*I19)</f>
        <v>32331.684782547087</v>
      </c>
      <c r="J186" s="972">
        <f>('Operating Stats'!$F$12*J2)+('Operating Stats'!$G$12*J3)+('Operating Stats'!$G$12/$B$6*J19)</f>
        <v>33801.469293848968</v>
      </c>
      <c r="K186" s="972">
        <f>('Operating Stats'!$F$12*K2)+('Operating Stats'!$G$12*K3)+('Operating Stats'!$G$12/$B$6*K19)</f>
        <v>35121.166593602931</v>
      </c>
    </row>
    <row r="187" spans="2:16" hidden="1" x14ac:dyDescent="0.3">
      <c r="B187" s="94"/>
      <c r="E187" s="973" t="s">
        <v>391</v>
      </c>
      <c r="F187" s="973"/>
      <c r="G187" s="974">
        <f>G185*'Fare Rates'!$C$6</f>
        <v>0</v>
      </c>
      <c r="H187" s="973"/>
      <c r="I187" s="973"/>
      <c r="J187" s="973"/>
      <c r="K187" s="973"/>
    </row>
    <row r="188" spans="2:16" hidden="1" x14ac:dyDescent="0.3">
      <c r="B188" s="94"/>
      <c r="E188" s="968" t="s">
        <v>397</v>
      </c>
      <c r="F188" s="968"/>
      <c r="G188" s="969">
        <f>G186*0.5</f>
        <v>14946.230021517697</v>
      </c>
      <c r="H188" s="978"/>
      <c r="I188" s="978"/>
      <c r="J188" s="978"/>
      <c r="K188" s="978"/>
    </row>
    <row r="189" spans="2:16" hidden="1" x14ac:dyDescent="0.3">
      <c r="B189" s="94"/>
      <c r="E189" s="968" t="s">
        <v>408</v>
      </c>
      <c r="F189" s="968"/>
      <c r="G189" s="970">
        <f>SUM($G$66,$G$67)*0.6666666*('Operating Stats'!F12/'Operating Stats'!F42)</f>
        <v>8049.6921487850232</v>
      </c>
      <c r="H189" s="978"/>
      <c r="I189" s="978"/>
      <c r="J189" s="978"/>
      <c r="K189" s="978"/>
      <c r="M189" s="580"/>
    </row>
    <row r="190" spans="2:16" hidden="1" x14ac:dyDescent="0.3">
      <c r="B190" s="94"/>
      <c r="E190" s="968" t="s">
        <v>164</v>
      </c>
      <c r="F190" s="968"/>
      <c r="G190" s="970">
        <f>G77</f>
        <v>120000</v>
      </c>
      <c r="H190" s="978"/>
      <c r="I190" s="978"/>
      <c r="J190" s="978"/>
      <c r="K190" s="978"/>
      <c r="M190" s="580"/>
    </row>
    <row r="191" spans="2:16" hidden="1" x14ac:dyDescent="0.3">
      <c r="B191" s="94"/>
      <c r="E191" s="957" t="s">
        <v>416</v>
      </c>
      <c r="G191" s="979">
        <f>-G186+G187+G188+G189+G190</f>
        <v>113103.46212726732</v>
      </c>
      <c r="H191" s="979"/>
      <c r="I191" s="979"/>
      <c r="J191" s="979"/>
      <c r="K191" s="979"/>
    </row>
    <row r="192" spans="2:16" hidden="1" x14ac:dyDescent="0.3">
      <c r="B192" s="94"/>
      <c r="E192" s="454"/>
      <c r="G192" s="467"/>
      <c r="H192" s="467"/>
      <c r="I192" s="467"/>
      <c r="J192" s="467"/>
      <c r="K192" s="467"/>
      <c r="P192" s="362" t="s">
        <v>243</v>
      </c>
    </row>
    <row r="193" spans="2:15" hidden="1" x14ac:dyDescent="0.3">
      <c r="B193" s="94"/>
      <c r="E193" s="454"/>
    </row>
    <row r="194" spans="2:15" hidden="1" x14ac:dyDescent="0.3">
      <c r="B194" s="94"/>
      <c r="E194" t="s">
        <v>417</v>
      </c>
      <c r="G194" s="979"/>
      <c r="H194" s="979"/>
      <c r="I194" s="979"/>
      <c r="J194" s="979"/>
      <c r="K194" s="979"/>
    </row>
    <row r="195" spans="2:15" hidden="1" x14ac:dyDescent="0.3">
      <c r="B195" s="94"/>
      <c r="D195" s="914">
        <v>55</v>
      </c>
      <c r="E195" s="914" t="s">
        <v>393</v>
      </c>
      <c r="F195" s="914"/>
      <c r="G195" s="966">
        <f>'Operating Stats'!$E$13*G135</f>
        <v>56721.18</v>
      </c>
      <c r="H195" s="966">
        <f>'Operating Stats'!$E$13*H135</f>
        <v>57855.603600000002</v>
      </c>
      <c r="I195" s="966">
        <f>'Operating Stats'!$E$13*I135</f>
        <v>59012.715671999998</v>
      </c>
      <c r="J195" s="966">
        <f>'Operating Stats'!$E$13*J135</f>
        <v>60192.969985439995</v>
      </c>
      <c r="K195" s="966">
        <f>'Operating Stats'!$E$13*K135</f>
        <v>61396.829385148798</v>
      </c>
    </row>
    <row r="196" spans="2:15" hidden="1" x14ac:dyDescent="0.3">
      <c r="B196" s="94"/>
      <c r="E196" s="824" t="s">
        <v>384</v>
      </c>
      <c r="F196" s="824"/>
      <c r="G196" s="972">
        <f>('Operating Stats'!$F$13*G2)+('Operating Stats'!$G$13*G3)+('Operating Stats'!$G$13/$B$6*G19)</f>
        <v>1759503.8916685765</v>
      </c>
      <c r="H196" s="972">
        <f>('Operating Stats'!$F$13*H2)+('Operating Stats'!$G$13*H3)+('Operating Stats'!$G$13/$B$6*H19)</f>
        <v>1829884.0473353197</v>
      </c>
      <c r="I196" s="972">
        <f>('Operating Stats'!$F$13*I2)+('Operating Stats'!$G$13*I3)+('Operating Stats'!$G$13/$B$6*I19)</f>
        <v>1903079.4092287328</v>
      </c>
      <c r="J196" s="972">
        <f>('Operating Stats'!$F$13*J2)+('Operating Stats'!$G$13*J3)+('Operating Stats'!$G$13/$B$6*J19)</f>
        <v>1990799.6565482821</v>
      </c>
      <c r="K196" s="972">
        <f>('Operating Stats'!$F$13*K2)+('Operating Stats'!$G$13*K3)+('Operating Stats'!$G$13/$B$6*K19)</f>
        <v>2068305.5131359731</v>
      </c>
    </row>
    <row r="197" spans="2:15" hidden="1" x14ac:dyDescent="0.3">
      <c r="B197" s="94"/>
      <c r="E197" s="973" t="s">
        <v>391</v>
      </c>
      <c r="F197" s="973"/>
      <c r="G197" s="974">
        <f>G195*'Fare Rates'!$C$6</f>
        <v>0</v>
      </c>
      <c r="H197" s="974">
        <f>H195*'Fare Rates'!$C$6</f>
        <v>0</v>
      </c>
      <c r="I197" s="974">
        <f>I195*'Fare Rates'!$C$6</f>
        <v>0</v>
      </c>
      <c r="J197" s="974">
        <f>J195*'Fare Rates'!$C$6</f>
        <v>0</v>
      </c>
      <c r="K197" s="974">
        <f>K195*'Fare Rates'!$C$6</f>
        <v>0</v>
      </c>
    </row>
    <row r="198" spans="2:15" hidden="1" x14ac:dyDescent="0.3">
      <c r="B198" s="94"/>
      <c r="E198" s="968" t="s">
        <v>397</v>
      </c>
      <c r="F198" s="968"/>
      <c r="G198" s="969">
        <f>G196*0.5</f>
        <v>879751.94583428826</v>
      </c>
      <c r="H198" s="978"/>
      <c r="I198" s="978"/>
      <c r="J198" s="978"/>
      <c r="K198" s="978"/>
    </row>
    <row r="199" spans="2:15" hidden="1" x14ac:dyDescent="0.3">
      <c r="B199" s="94"/>
      <c r="E199" s="968" t="s">
        <v>408</v>
      </c>
      <c r="F199" s="968"/>
      <c r="G199" s="970">
        <f>SUM($G$66,$G$67)*0.66666666*('Operating Stats'!F13/'Operating Stats'!$F$43)</f>
        <v>321046.94063496939</v>
      </c>
      <c r="H199" s="968"/>
      <c r="I199" s="968"/>
      <c r="J199" s="968"/>
      <c r="K199" s="968"/>
      <c r="M199" s="580"/>
    </row>
    <row r="200" spans="2:15" hidden="1" x14ac:dyDescent="0.3">
      <c r="B200" s="94"/>
      <c r="E200" s="957" t="s">
        <v>416</v>
      </c>
      <c r="G200" s="979">
        <f>-G196+G197+G198+G199</f>
        <v>-558705.00519931887</v>
      </c>
      <c r="H200" s="979"/>
      <c r="I200" s="979"/>
      <c r="J200" s="979"/>
      <c r="K200" s="979"/>
    </row>
    <row r="201" spans="2:15" hidden="1" x14ac:dyDescent="0.3">
      <c r="B201" s="94"/>
      <c r="E201" s="964" t="s">
        <v>414</v>
      </c>
      <c r="G201" s="580"/>
      <c r="H201" s="97"/>
      <c r="I201" s="97"/>
      <c r="J201" s="97"/>
      <c r="K201" s="97"/>
    </row>
    <row r="202" spans="2:15" hidden="1" x14ac:dyDescent="0.3">
      <c r="B202" s="94"/>
      <c r="E202" s="454"/>
      <c r="G202" s="467"/>
      <c r="H202" s="467"/>
      <c r="I202" s="467"/>
      <c r="J202" s="467"/>
      <c r="K202" s="467"/>
    </row>
    <row r="203" spans="2:15" hidden="1" x14ac:dyDescent="0.3">
      <c r="B203" s="94"/>
      <c r="E203" s="454"/>
    </row>
    <row r="204" spans="2:15" hidden="1" x14ac:dyDescent="0.3">
      <c r="B204" s="94"/>
      <c r="E204" t="s">
        <v>417</v>
      </c>
      <c r="G204" s="979"/>
      <c r="H204" s="979"/>
      <c r="I204" s="979"/>
      <c r="J204" s="979"/>
      <c r="K204" s="979"/>
    </row>
    <row r="205" spans="2:15" hidden="1" x14ac:dyDescent="0.3">
      <c r="B205" s="94"/>
      <c r="D205" s="965" t="s">
        <v>388</v>
      </c>
      <c r="E205" s="914" t="s">
        <v>393</v>
      </c>
      <c r="F205" s="914"/>
      <c r="G205" s="966">
        <f>'Operating Stats'!$E$14*G135</f>
        <v>14847.12</v>
      </c>
      <c r="H205" s="966">
        <f>'Operating Stats'!$E$14*H135</f>
        <v>15144.062400000001</v>
      </c>
      <c r="I205" s="966">
        <f>'Operating Stats'!$E$14*I135</f>
        <v>15446.943647999999</v>
      </c>
      <c r="J205" s="966">
        <f>'Operating Stats'!$E$14*J135</f>
        <v>15755.88252096</v>
      </c>
      <c r="K205" s="966">
        <f>'Operating Stats'!$E$14*K135</f>
        <v>16071.000171379201</v>
      </c>
    </row>
    <row r="206" spans="2:15" hidden="1" x14ac:dyDescent="0.3">
      <c r="B206" s="94"/>
      <c r="E206" s="824" t="s">
        <v>384</v>
      </c>
      <c r="F206" s="824"/>
      <c r="G206" s="972">
        <f>('Operating Stats'!$F$14*G2)+('Operating Stats'!$G$14*G3)+('Operating Stats'!$G$14/$B$6*G19)</f>
        <v>1061777.9838086166</v>
      </c>
      <c r="H206" s="972">
        <f>('Operating Stats'!$F$14*H2)+('Operating Stats'!$G$14*H3)+('Operating Stats'!$G$14/$B$6*H19)</f>
        <v>1104249.1031609611</v>
      </c>
      <c r="I206" s="972">
        <f>('Operating Stats'!$F$14*I2)+('Operating Stats'!$G$14*I3)+('Operating Stats'!$G$14/$B$6*I19)</f>
        <v>1148419.0672873997</v>
      </c>
      <c r="J206" s="972">
        <f>('Operating Stats'!$F$14*J2)+('Operating Stats'!$G$14*J3)+('Operating Stats'!$G$14/$B$6*J19)</f>
        <v>1201798.3109260958</v>
      </c>
      <c r="K206" s="972">
        <f>('Operating Stats'!$F$14*K2)+('Operating Stats'!$G$14*K3)+('Operating Stats'!$G$14/$B$6*K19)</f>
        <v>1248505.7885228195</v>
      </c>
      <c r="O206" s="362" t="s">
        <v>243</v>
      </c>
    </row>
    <row r="207" spans="2:15" hidden="1" x14ac:dyDescent="0.3">
      <c r="B207" s="94"/>
      <c r="E207" s="968" t="s">
        <v>389</v>
      </c>
      <c r="F207" s="968"/>
      <c r="G207" s="970">
        <f>G63+G64</f>
        <v>30277</v>
      </c>
      <c r="H207" s="970" t="e">
        <f>H63+H64</f>
        <v>#VALUE!</v>
      </c>
      <c r="I207" s="970" t="e">
        <f>I63+I64</f>
        <v>#VALUE!</v>
      </c>
      <c r="J207" s="970" t="e">
        <f>J63+J64</f>
        <v>#VALUE!</v>
      </c>
      <c r="K207" s="970" t="e">
        <f>K63+K64</f>
        <v>#VALUE!</v>
      </c>
    </row>
    <row r="208" spans="2:15" hidden="1" x14ac:dyDescent="0.3">
      <c r="B208" s="94"/>
      <c r="E208" s="968" t="s">
        <v>400</v>
      </c>
      <c r="F208" s="968"/>
      <c r="G208" s="970">
        <f>G206*0.8</f>
        <v>849422.38704689336</v>
      </c>
      <c r="H208" s="970"/>
      <c r="I208" s="970"/>
      <c r="J208" s="970"/>
      <c r="K208" s="970"/>
    </row>
    <row r="209" spans="2:16" hidden="1" x14ac:dyDescent="0.3">
      <c r="B209" s="94"/>
      <c r="E209" s="957" t="s">
        <v>416</v>
      </c>
      <c r="G209" s="979">
        <f>-G206+G207+G208</f>
        <v>-182078.59676172328</v>
      </c>
      <c r="H209" s="979"/>
      <c r="I209" s="979"/>
      <c r="J209" s="979"/>
      <c r="K209" s="979"/>
    </row>
    <row r="210" spans="2:16" hidden="1" x14ac:dyDescent="0.3">
      <c r="B210" s="94"/>
      <c r="E210" s="454"/>
    </row>
    <row r="211" spans="2:16" hidden="1" x14ac:dyDescent="0.3">
      <c r="B211" s="94"/>
      <c r="E211" s="454"/>
    </row>
    <row r="212" spans="2:16" hidden="1" x14ac:dyDescent="0.3">
      <c r="B212" s="94"/>
      <c r="E212" t="s">
        <v>417</v>
      </c>
      <c r="G212" s="979"/>
      <c r="H212" s="979"/>
      <c r="I212" s="979"/>
      <c r="J212" s="979"/>
      <c r="K212" s="979"/>
    </row>
    <row r="213" spans="2:16" hidden="1" x14ac:dyDescent="0.3">
      <c r="B213" s="94"/>
      <c r="D213" t="s">
        <v>92</v>
      </c>
      <c r="E213" s="363" t="s">
        <v>393</v>
      </c>
      <c r="F213" s="914"/>
      <c r="G213" s="966">
        <f>SUM(G141,G150,G159,G168,G174,G185,G195,G205)</f>
        <v>311319.3</v>
      </c>
      <c r="H213" s="966">
        <f t="shared" ref="H213:K213" si="30">SUM(H141,H150,H159,H168,H174,H185,H195,H205)</f>
        <v>317545.68600000005</v>
      </c>
      <c r="I213" s="966">
        <f t="shared" si="30"/>
        <v>323896.59972</v>
      </c>
      <c r="J213" s="966">
        <f t="shared" si="30"/>
        <v>330374.53171439999</v>
      </c>
      <c r="K213" s="1048">
        <f t="shared" si="30"/>
        <v>336982.02234868798</v>
      </c>
    </row>
    <row r="214" spans="2:16" hidden="1" x14ac:dyDescent="0.3">
      <c r="B214" s="94"/>
      <c r="E214" s="1049" t="s">
        <v>384</v>
      </c>
      <c r="F214" s="1050"/>
      <c r="G214" s="1051">
        <f>SUM(G142,G151,G160,G169,G175,G186,G196,G206)</f>
        <v>7359982.0215313416</v>
      </c>
      <c r="H214" s="1051">
        <f t="shared" ref="H214:K214" si="31">SUM(H142,H151,H160,H169,H175,H186,H196,H206)</f>
        <v>7639785.782392595</v>
      </c>
      <c r="I214" s="1051">
        <f t="shared" si="31"/>
        <v>7940143.3736882992</v>
      </c>
      <c r="J214" s="1051">
        <f t="shared" si="31"/>
        <v>8306870.1666006315</v>
      </c>
      <c r="K214" s="1052">
        <f t="shared" si="31"/>
        <v>8623598.5416617785</v>
      </c>
    </row>
    <row r="215" spans="2:16" hidden="1" x14ac:dyDescent="0.3">
      <c r="B215" s="94"/>
      <c r="G215" s="979"/>
      <c r="H215" s="979"/>
      <c r="I215" s="979"/>
      <c r="J215" s="979"/>
      <c r="K215" s="979"/>
    </row>
    <row r="216" spans="2:16" ht="15" thickBot="1" x14ac:dyDescent="0.35">
      <c r="B216" s="94"/>
    </row>
    <row r="217" spans="2:16" ht="51" customHeight="1" x14ac:dyDescent="0.3">
      <c r="B217" s="94"/>
      <c r="D217" s="1038" t="s">
        <v>849</v>
      </c>
      <c r="E217" s="1339" t="s">
        <v>854</v>
      </c>
      <c r="F217" s="1036"/>
      <c r="G217" s="1036"/>
      <c r="H217" s="1036"/>
      <c r="I217" s="1036"/>
      <c r="J217" s="1036"/>
      <c r="K217" s="1036"/>
      <c r="L217" s="1037"/>
    </row>
    <row r="218" spans="2:16" ht="15.9" customHeight="1" x14ac:dyDescent="0.3">
      <c r="B218" s="94"/>
      <c r="D218" s="1039"/>
      <c r="E218" s="1040"/>
      <c r="F218" s="505" t="s">
        <v>558</v>
      </c>
      <c r="G218" s="505" t="s">
        <v>552</v>
      </c>
      <c r="H218" s="505" t="s">
        <v>553</v>
      </c>
      <c r="I218" s="505" t="s">
        <v>554</v>
      </c>
      <c r="J218" s="505" t="s">
        <v>555</v>
      </c>
      <c r="K218" s="505" t="s">
        <v>556</v>
      </c>
      <c r="L218" s="1041"/>
      <c r="M218" s="1030" t="s">
        <v>549</v>
      </c>
    </row>
    <row r="219" spans="2:16" ht="7.5" customHeight="1" x14ac:dyDescent="0.3">
      <c r="B219" s="94"/>
      <c r="D219" s="804"/>
      <c r="E219" s="94"/>
      <c r="F219" s="486"/>
      <c r="G219" s="94"/>
      <c r="H219" s="94"/>
      <c r="I219" s="94"/>
      <c r="J219" s="94"/>
      <c r="K219" s="94"/>
      <c r="L219" s="21"/>
      <c r="P219" s="362" t="s">
        <v>800</v>
      </c>
    </row>
    <row r="220" spans="2:16" x14ac:dyDescent="0.3">
      <c r="B220" s="94"/>
      <c r="D220" s="804"/>
      <c r="E220" s="92" t="s">
        <v>803</v>
      </c>
      <c r="F220" s="1046">
        <v>2774083</v>
      </c>
      <c r="G220" s="1031">
        <f>G107</f>
        <v>3228840.46</v>
      </c>
      <c r="H220" s="1031">
        <f t="shared" ref="H220:K220" si="32">H107</f>
        <v>3357994.0784000005</v>
      </c>
      <c r="I220" s="1031">
        <f t="shared" si="32"/>
        <v>3492313.8415360008</v>
      </c>
      <c r="J220" s="1031">
        <f t="shared" si="32"/>
        <v>3632006.3951974409</v>
      </c>
      <c r="K220" s="1031">
        <f t="shared" si="32"/>
        <v>3777286.6510053384</v>
      </c>
      <c r="L220" s="21"/>
    </row>
    <row r="221" spans="2:16" x14ac:dyDescent="0.3">
      <c r="B221" s="94"/>
      <c r="D221" s="804"/>
      <c r="E221" s="92" t="s">
        <v>804</v>
      </c>
      <c r="F221" s="1225" t="s">
        <v>570</v>
      </c>
      <c r="G221" s="1031">
        <f>G110</f>
        <v>3228840.46</v>
      </c>
      <c r="H221" s="1031">
        <f>H110</f>
        <v>3715294.0784000005</v>
      </c>
      <c r="I221" s="1031">
        <f>I110</f>
        <v>3863313.8415360008</v>
      </c>
      <c r="J221" s="1031">
        <f>J110</f>
        <v>4016806.3951974409</v>
      </c>
      <c r="K221" s="1031">
        <f>K110</f>
        <v>4175786.6510053384</v>
      </c>
      <c r="L221" s="21"/>
    </row>
    <row r="222" spans="2:16" ht="7.5" customHeight="1" x14ac:dyDescent="0.3">
      <c r="B222" s="94"/>
      <c r="D222" s="806"/>
      <c r="E222" s="1228"/>
      <c r="F222" s="1233"/>
      <c r="G222" s="1230"/>
      <c r="H222" s="1230"/>
      <c r="I222" s="1230"/>
      <c r="J222" s="1230"/>
      <c r="K222" s="1230"/>
      <c r="L222" s="807"/>
    </row>
    <row r="223" spans="2:16" x14ac:dyDescent="0.3">
      <c r="B223" s="94"/>
      <c r="D223" s="804"/>
      <c r="E223" s="92" t="s">
        <v>548</v>
      </c>
      <c r="F223" s="1046">
        <v>3038677</v>
      </c>
      <c r="G223" s="1031">
        <f>G103</f>
        <v>3287724</v>
      </c>
      <c r="H223" s="1031">
        <f>H103</f>
        <v>2679000</v>
      </c>
      <c r="I223" s="1031">
        <f>I103</f>
        <v>2700000</v>
      </c>
      <c r="J223" s="1031">
        <f>J103</f>
        <v>2700000</v>
      </c>
      <c r="K223" s="1031">
        <f>K103</f>
        <v>2700000</v>
      </c>
      <c r="L223" s="1032"/>
    </row>
    <row r="224" spans="2:16" x14ac:dyDescent="0.3">
      <c r="B224" s="94"/>
      <c r="D224" s="804"/>
      <c r="E224" s="94" t="s">
        <v>686</v>
      </c>
      <c r="F224" s="950">
        <v>0</v>
      </c>
      <c r="G224" s="1034">
        <f>F224</f>
        <v>0</v>
      </c>
      <c r="H224" s="1034">
        <f t="shared" ref="H224:K224" si="33">G224</f>
        <v>0</v>
      </c>
      <c r="I224" s="1034">
        <f t="shared" si="33"/>
        <v>0</v>
      </c>
      <c r="J224" s="1034">
        <f t="shared" si="33"/>
        <v>0</v>
      </c>
      <c r="K224" s="1034">
        <f t="shared" si="33"/>
        <v>0</v>
      </c>
      <c r="L224" s="21"/>
      <c r="M224" s="1033">
        <f>F224/$F$223</f>
        <v>0</v>
      </c>
    </row>
    <row r="225" spans="2:18" x14ac:dyDescent="0.3">
      <c r="B225" s="94"/>
      <c r="D225" s="804"/>
      <c r="E225" s="94" t="s">
        <v>687</v>
      </c>
      <c r="F225" s="1047">
        <v>0</v>
      </c>
      <c r="G225" s="1034">
        <f>F225</f>
        <v>0</v>
      </c>
      <c r="H225" s="1034">
        <f t="shared" ref="H225:K225" si="34">G225</f>
        <v>0</v>
      </c>
      <c r="I225" s="1034">
        <f t="shared" si="34"/>
        <v>0</v>
      </c>
      <c r="J225" s="1034">
        <f t="shared" si="34"/>
        <v>0</v>
      </c>
      <c r="K225" s="1034">
        <f t="shared" si="34"/>
        <v>0</v>
      </c>
      <c r="L225" s="21"/>
      <c r="M225" s="1033">
        <f t="shared" ref="M225" si="35">F225/$F$223</f>
        <v>0</v>
      </c>
    </row>
    <row r="226" spans="2:18" x14ac:dyDescent="0.3">
      <c r="B226" s="94"/>
      <c r="D226" s="804"/>
      <c r="E226" s="94" t="s">
        <v>546</v>
      </c>
      <c r="F226" s="1047">
        <f>SUM(F86:F87)</f>
        <v>1500000</v>
      </c>
      <c r="G226" s="1034">
        <f>SUM(G86,G87)</f>
        <v>1850000</v>
      </c>
      <c r="H226" s="1034">
        <f>SUM(H86,H87)</f>
        <v>1950000</v>
      </c>
      <c r="I226" s="1034">
        <f>SUM(I86,I87)</f>
        <v>1950000</v>
      </c>
      <c r="J226" s="1034">
        <f>SUM(J86,J87)</f>
        <v>1950000</v>
      </c>
      <c r="K226" s="1034">
        <f>SUM(K86,K87)</f>
        <v>1950000</v>
      </c>
      <c r="L226" s="21"/>
      <c r="M226" s="1033">
        <f t="shared" ref="M226:M229" si="36">F226/$F$223</f>
        <v>0.49363588166823918</v>
      </c>
    </row>
    <row r="227" spans="2:18" x14ac:dyDescent="0.3">
      <c r="B227" s="94"/>
      <c r="D227" s="804"/>
      <c r="E227" s="94" t="s">
        <v>543</v>
      </c>
      <c r="F227" s="950">
        <f t="shared" ref="F227:K227" si="37">F85</f>
        <v>750000</v>
      </c>
      <c r="G227" s="1034">
        <f t="shared" si="37"/>
        <v>750000</v>
      </c>
      <c r="H227" s="1034">
        <f t="shared" si="37"/>
        <v>0</v>
      </c>
      <c r="I227" s="1034">
        <f t="shared" si="37"/>
        <v>0</v>
      </c>
      <c r="J227" s="1034">
        <f t="shared" si="37"/>
        <v>0</v>
      </c>
      <c r="K227" s="1034">
        <f t="shared" si="37"/>
        <v>0</v>
      </c>
      <c r="L227" s="21"/>
      <c r="M227" s="1033">
        <f t="shared" si="36"/>
        <v>0.24681794083411959</v>
      </c>
    </row>
    <row r="228" spans="2:18" x14ac:dyDescent="0.3">
      <c r="B228" s="94"/>
      <c r="D228" s="804"/>
      <c r="E228" s="94" t="s">
        <v>545</v>
      </c>
      <c r="F228" s="950">
        <f t="shared" ref="F228:K228" si="38">F88</f>
        <v>613053</v>
      </c>
      <c r="G228" s="1034">
        <f t="shared" si="38"/>
        <v>687724</v>
      </c>
      <c r="H228" s="1034">
        <f t="shared" si="38"/>
        <v>729000</v>
      </c>
      <c r="I228" s="1034">
        <f t="shared" si="38"/>
        <v>750000</v>
      </c>
      <c r="J228" s="1034">
        <f t="shared" si="38"/>
        <v>750000</v>
      </c>
      <c r="K228" s="1034">
        <f t="shared" si="38"/>
        <v>750000</v>
      </c>
      <c r="L228" s="21"/>
      <c r="M228" s="1033">
        <f>F228/$F$223</f>
        <v>0.20174997210957268</v>
      </c>
    </row>
    <row r="229" spans="2:18" x14ac:dyDescent="0.3">
      <c r="B229" s="94"/>
      <c r="D229" s="806"/>
      <c r="E229" s="802" t="s">
        <v>765</v>
      </c>
      <c r="F229" s="1234">
        <f t="shared" ref="F229:K229" si="39">SUM(F89:F95)</f>
        <v>302100</v>
      </c>
      <c r="G229" s="1232">
        <f t="shared" si="39"/>
        <v>0</v>
      </c>
      <c r="H229" s="1232">
        <f t="shared" si="39"/>
        <v>0</v>
      </c>
      <c r="I229" s="1232">
        <f t="shared" si="39"/>
        <v>0</v>
      </c>
      <c r="J229" s="1232">
        <f t="shared" si="39"/>
        <v>0</v>
      </c>
      <c r="K229" s="1232">
        <f t="shared" si="39"/>
        <v>0</v>
      </c>
      <c r="L229" s="807"/>
      <c r="M229" s="1033">
        <f t="shared" si="36"/>
        <v>9.9418266567983374E-2</v>
      </c>
    </row>
    <row r="230" spans="2:18" ht="6.9" customHeight="1" x14ac:dyDescent="0.3">
      <c r="B230" s="94"/>
      <c r="D230" s="804"/>
      <c r="E230" s="94"/>
      <c r="F230" s="485"/>
      <c r="G230" s="94"/>
      <c r="H230" s="94"/>
      <c r="I230" s="94"/>
      <c r="J230" s="94"/>
      <c r="K230" s="94"/>
      <c r="L230" s="21"/>
    </row>
    <row r="231" spans="2:18" x14ac:dyDescent="0.3">
      <c r="B231" s="94"/>
      <c r="D231" s="804"/>
      <c r="E231" s="1042" t="s">
        <v>824</v>
      </c>
      <c r="F231" s="1226">
        <f t="shared" ref="F231:K231" si="40">F223-F220</f>
        <v>264594</v>
      </c>
      <c r="G231" s="1226">
        <f t="shared" si="40"/>
        <v>58883.540000000037</v>
      </c>
      <c r="H231" s="1226">
        <f t="shared" si="40"/>
        <v>-678994.07840000046</v>
      </c>
      <c r="I231" s="1226">
        <f t="shared" si="40"/>
        <v>-792313.84153600084</v>
      </c>
      <c r="J231" s="1226">
        <f t="shared" si="40"/>
        <v>-932006.39519744087</v>
      </c>
      <c r="K231" s="1226">
        <f t="shared" si="40"/>
        <v>-1077286.6510053384</v>
      </c>
      <c r="L231" s="21"/>
    </row>
    <row r="232" spans="2:18" x14ac:dyDescent="0.3">
      <c r="B232" s="94"/>
      <c r="D232" s="804"/>
      <c r="E232" s="1042" t="s">
        <v>823</v>
      </c>
      <c r="F232" s="1227">
        <f>F223-F220</f>
        <v>264594</v>
      </c>
      <c r="G232" s="1227">
        <f>G223-G221</f>
        <v>58883.540000000037</v>
      </c>
      <c r="H232" s="1227">
        <f t="shared" ref="H232:K232" si="41">H223-H221</f>
        <v>-1036294.0784000005</v>
      </c>
      <c r="I232" s="1227">
        <f t="shared" si="41"/>
        <v>-1163313.8415360008</v>
      </c>
      <c r="J232" s="1227">
        <f t="shared" si="41"/>
        <v>-1316806.3951974409</v>
      </c>
      <c r="K232" s="1227">
        <f t="shared" si="41"/>
        <v>-1475786.6510053384</v>
      </c>
      <c r="L232" s="21"/>
    </row>
    <row r="233" spans="2:18" ht="7.5" customHeight="1" x14ac:dyDescent="0.3">
      <c r="B233" s="94"/>
      <c r="D233" s="804"/>
      <c r="E233" s="94"/>
      <c r="F233" s="485"/>
      <c r="G233" s="94"/>
      <c r="H233" s="94"/>
      <c r="I233" s="94"/>
      <c r="J233" s="94"/>
      <c r="K233" s="94"/>
      <c r="L233" s="21"/>
    </row>
    <row r="234" spans="2:18" x14ac:dyDescent="0.3">
      <c r="B234" s="94"/>
      <c r="D234" s="1113"/>
      <c r="E234" s="1116" t="s">
        <v>853</v>
      </c>
      <c r="F234" s="1117"/>
      <c r="G234" s="1116"/>
      <c r="H234" s="1116"/>
      <c r="I234" s="1116"/>
      <c r="J234" s="1114"/>
      <c r="K234" s="1114"/>
      <c r="L234" s="1115"/>
    </row>
    <row r="235" spans="2:18" s="94" customFormat="1" x14ac:dyDescent="0.3">
      <c r="D235" s="804"/>
      <c r="E235" s="1119" t="s">
        <v>559</v>
      </c>
      <c r="F235" s="1118"/>
      <c r="G235" s="1119"/>
      <c r="H235" s="1119"/>
      <c r="I235" s="1119"/>
      <c r="L235" s="21"/>
      <c r="O235" s="485"/>
      <c r="P235" s="485"/>
      <c r="Q235" s="486"/>
      <c r="R235" s="486"/>
    </row>
    <row r="236" spans="2:18" ht="4.2" customHeight="1" thickBot="1" x14ac:dyDescent="0.35">
      <c r="B236" s="94"/>
      <c r="D236" s="810"/>
      <c r="E236" s="1120"/>
      <c r="F236" s="1120"/>
      <c r="G236" s="1120"/>
      <c r="H236" s="1120"/>
      <c r="I236" s="1120"/>
      <c r="J236" s="811"/>
      <c r="K236" s="811"/>
      <c r="L236" s="812"/>
    </row>
    <row r="237" spans="2:18" x14ac:dyDescent="0.3">
      <c r="B237" s="94"/>
    </row>
    <row r="238" spans="2:18" x14ac:dyDescent="0.3">
      <c r="B238" s="94"/>
      <c r="F238" s="580">
        <f>SUM(F226:F229)</f>
        <v>3165153</v>
      </c>
    </row>
    <row r="239" spans="2:18" ht="15" thickBot="1" x14ac:dyDescent="0.35">
      <c r="B239" s="94"/>
    </row>
    <row r="240" spans="2:18" ht="51" customHeight="1" x14ac:dyDescent="0.3">
      <c r="B240" s="94"/>
      <c r="D240" s="1038"/>
      <c r="E240" s="1339" t="s">
        <v>855</v>
      </c>
      <c r="F240" s="1236" t="s">
        <v>825</v>
      </c>
      <c r="G240" s="1036"/>
      <c r="H240" s="1036"/>
      <c r="I240" s="1036"/>
      <c r="J240" s="1036"/>
      <c r="K240" s="1036"/>
      <c r="L240" s="1037"/>
    </row>
    <row r="241" spans="2:16" ht="15.9" customHeight="1" x14ac:dyDescent="0.3">
      <c r="B241" s="94"/>
      <c r="D241" s="1039"/>
      <c r="E241" s="1040"/>
      <c r="F241" s="504" t="s">
        <v>558</v>
      </c>
      <c r="G241" s="505" t="s">
        <v>552</v>
      </c>
      <c r="H241" s="505" t="s">
        <v>553</v>
      </c>
      <c r="I241" s="505" t="s">
        <v>554</v>
      </c>
      <c r="J241" s="505" t="s">
        <v>555</v>
      </c>
      <c r="K241" s="505" t="s">
        <v>556</v>
      </c>
      <c r="L241" s="1041"/>
      <c r="M241" s="1030" t="s">
        <v>549</v>
      </c>
    </row>
    <row r="242" spans="2:16" ht="9" customHeight="1" x14ac:dyDescent="0.3">
      <c r="B242" s="94"/>
      <c r="D242" s="804"/>
      <c r="E242" s="94"/>
      <c r="F242" s="485"/>
      <c r="G242" s="94"/>
      <c r="H242" s="94"/>
      <c r="I242" s="94"/>
      <c r="J242" s="94"/>
      <c r="K242" s="94"/>
      <c r="L242" s="21"/>
    </row>
    <row r="243" spans="2:16" x14ac:dyDescent="0.3">
      <c r="B243" s="94"/>
      <c r="D243" s="804"/>
      <c r="E243" s="92" t="s">
        <v>803</v>
      </c>
      <c r="F243" s="1044"/>
      <c r="G243" s="1031">
        <f>G106</f>
        <v>7845095.9861924574</v>
      </c>
      <c r="H243" s="1031">
        <f t="shared" ref="H243:K243" si="42">H106</f>
        <v>8144304.3056401573</v>
      </c>
      <c r="I243" s="1031">
        <f t="shared" si="42"/>
        <v>7925757.1178657636</v>
      </c>
      <c r="J243" s="1031">
        <f t="shared" si="42"/>
        <v>8298322.0767051941</v>
      </c>
      <c r="K243" s="1031">
        <f t="shared" si="42"/>
        <v>8620073.6028505228</v>
      </c>
      <c r="L243" s="21"/>
    </row>
    <row r="244" spans="2:16" x14ac:dyDescent="0.3">
      <c r="B244" s="94"/>
      <c r="D244" s="804"/>
      <c r="E244" s="92" t="s">
        <v>804</v>
      </c>
      <c r="F244" s="1044"/>
      <c r="G244" s="1031">
        <f>G109</f>
        <v>8310995.9861924574</v>
      </c>
      <c r="H244" s="1031">
        <f>H109</f>
        <v>8766104.3056401573</v>
      </c>
      <c r="I244" s="1031">
        <f>I109</f>
        <v>9130057.1178657636</v>
      </c>
      <c r="J244" s="1031">
        <f>J109</f>
        <v>9547322.076705195</v>
      </c>
      <c r="K244" s="1031">
        <f>K109</f>
        <v>9913573.6028505228</v>
      </c>
      <c r="L244" s="21"/>
    </row>
    <row r="245" spans="2:16" ht="6" customHeight="1" x14ac:dyDescent="0.3">
      <c r="B245" s="94"/>
      <c r="D245" s="806"/>
      <c r="E245" s="1228"/>
      <c r="F245" s="1229"/>
      <c r="G245" s="1230"/>
      <c r="H245" s="1230"/>
      <c r="I245" s="1230"/>
      <c r="J245" s="1230"/>
      <c r="K245" s="1230"/>
      <c r="L245" s="807"/>
    </row>
    <row r="246" spans="2:16" x14ac:dyDescent="0.3">
      <c r="B246" s="94"/>
      <c r="D246" s="804"/>
      <c r="E246" s="92" t="s">
        <v>548</v>
      </c>
      <c r="F246" s="1044"/>
      <c r="G246" s="1031">
        <f>G102</f>
        <v>8780734</v>
      </c>
      <c r="H246" s="1031">
        <f>H102</f>
        <v>6852999</v>
      </c>
      <c r="I246" s="1031">
        <f>I102</f>
        <v>6386300</v>
      </c>
      <c r="J246" s="1031">
        <f>J102</f>
        <v>6239800</v>
      </c>
      <c r="K246" s="1031">
        <f>K102</f>
        <v>6468100</v>
      </c>
      <c r="L246" s="1032"/>
      <c r="P246" s="362" t="s">
        <v>800</v>
      </c>
    </row>
    <row r="247" spans="2:16" x14ac:dyDescent="0.3">
      <c r="B247" s="94"/>
      <c r="D247" s="804"/>
      <c r="E247" s="94" t="s">
        <v>799</v>
      </c>
      <c r="F247" s="1128">
        <f>F110</f>
        <v>0</v>
      </c>
      <c r="G247" s="1034">
        <f>G68</f>
        <v>6785932</v>
      </c>
      <c r="H247" s="1034">
        <f>H68</f>
        <v>5925400</v>
      </c>
      <c r="I247" s="1034">
        <f>I68</f>
        <v>5889800</v>
      </c>
      <c r="J247" s="1034">
        <f>J68</f>
        <v>6008800</v>
      </c>
      <c r="K247" s="1034">
        <f>K68</f>
        <v>5971600</v>
      </c>
      <c r="L247" s="21"/>
      <c r="M247" s="1033">
        <f>G247/$G$246</f>
        <v>0.77282058652499896</v>
      </c>
    </row>
    <row r="248" spans="2:16" x14ac:dyDescent="0.3">
      <c r="B248" s="94"/>
      <c r="D248" s="804"/>
      <c r="E248" s="94" t="s">
        <v>687</v>
      </c>
      <c r="F248" s="1129">
        <f>SUM(F104:F109)</f>
        <v>0</v>
      </c>
      <c r="G248" s="1034">
        <f>SUM(G73,G74,G80)</f>
        <v>545416</v>
      </c>
      <c r="H248" s="1034">
        <f>SUM(H73,H74,H80)</f>
        <v>545090</v>
      </c>
      <c r="I248" s="1034">
        <f>SUM(I73,I74,I80)</f>
        <v>273500</v>
      </c>
      <c r="J248" s="1034">
        <f>SUM(J73,J74,J80)</f>
        <v>8000</v>
      </c>
      <c r="K248" s="1034">
        <f>SUM(K73,K74,K80)</f>
        <v>273500</v>
      </c>
      <c r="L248" s="21"/>
      <c r="M248" s="1033">
        <f t="shared" ref="M248:M250" si="43">G248/$G$246</f>
        <v>6.2115080584379395E-2</v>
      </c>
    </row>
    <row r="249" spans="2:16" x14ac:dyDescent="0.3">
      <c r="D249" s="804"/>
      <c r="E249" s="94" t="s">
        <v>546</v>
      </c>
      <c r="F249" s="1128"/>
      <c r="G249" s="1034">
        <f>SUM(G76,G77,G81,G82)</f>
        <v>544564</v>
      </c>
      <c r="H249" s="1034">
        <f>SUM(H76,H77,H81,H82)</f>
        <v>334831</v>
      </c>
      <c r="I249" s="1034">
        <f>SUM(I76,I77,I81,I82)</f>
        <v>205000</v>
      </c>
      <c r="J249" s="1034">
        <f>SUM(J76,J77,J81,J82)</f>
        <v>205000</v>
      </c>
      <c r="K249" s="1034">
        <f>SUM(K76,K77,K81,K82)</f>
        <v>205000</v>
      </c>
      <c r="L249" s="21"/>
      <c r="M249" s="1033">
        <f t="shared" si="43"/>
        <v>6.2018049971676627E-2</v>
      </c>
    </row>
    <row r="250" spans="2:16" x14ac:dyDescent="0.3">
      <c r="D250" s="804"/>
      <c r="E250" s="94" t="s">
        <v>543</v>
      </c>
      <c r="F250" s="1128">
        <f>F103</f>
        <v>0</v>
      </c>
      <c r="G250" s="1034">
        <f>G75</f>
        <v>825000</v>
      </c>
      <c r="H250" s="1034">
        <f>H75</f>
        <v>0</v>
      </c>
      <c r="I250" s="1034">
        <f>I75</f>
        <v>0</v>
      </c>
      <c r="J250" s="1034">
        <f>J75</f>
        <v>0</v>
      </c>
      <c r="K250" s="1034">
        <f>K75</f>
        <v>0</v>
      </c>
      <c r="L250" s="21"/>
      <c r="M250" s="1033">
        <f t="shared" si="43"/>
        <v>9.3955698919930844E-2</v>
      </c>
    </row>
    <row r="251" spans="2:16" x14ac:dyDescent="0.3">
      <c r="D251" s="804"/>
      <c r="E251" s="94" t="s">
        <v>547</v>
      </c>
      <c r="F251" s="1128">
        <f>SUM(F111:F120)</f>
        <v>0</v>
      </c>
      <c r="G251" s="1034">
        <f>SUM(G79)</f>
        <v>8322</v>
      </c>
      <c r="H251" s="1034">
        <f>SUM(H79)</f>
        <v>29678</v>
      </c>
      <c r="I251" s="1034">
        <f>SUM(I79)</f>
        <v>0</v>
      </c>
      <c r="J251" s="1034">
        <f>SUM(J79)</f>
        <v>0</v>
      </c>
      <c r="K251" s="1034">
        <f>SUM(K79)</f>
        <v>0</v>
      </c>
      <c r="L251" s="21"/>
      <c r="M251" s="1033">
        <f>G251/$G$246</f>
        <v>9.4775675928686603E-4</v>
      </c>
    </row>
    <row r="252" spans="2:16" x14ac:dyDescent="0.3">
      <c r="D252" s="806"/>
      <c r="E252" s="802" t="s">
        <v>862</v>
      </c>
      <c r="F252" s="1231"/>
      <c r="G252" s="1232">
        <f>SUM(G72,G78)</f>
        <v>71500</v>
      </c>
      <c r="H252" s="1232">
        <f>SUM(H72,H78)</f>
        <v>18000</v>
      </c>
      <c r="I252" s="1232">
        <f>SUM(I72,I78)</f>
        <v>18000</v>
      </c>
      <c r="J252" s="1232">
        <f>SUM(J72,J78)</f>
        <v>18000</v>
      </c>
      <c r="K252" s="1232">
        <f>SUM(K72,K78)</f>
        <v>18000</v>
      </c>
      <c r="L252" s="807"/>
      <c r="M252" s="1033">
        <f>G252/$G$246</f>
        <v>8.1428272397273387E-3</v>
      </c>
    </row>
    <row r="253" spans="2:16" ht="7.5" customHeight="1" x14ac:dyDescent="0.3">
      <c r="D253" s="804"/>
      <c r="E253" s="94"/>
      <c r="F253" s="485"/>
      <c r="G253" s="94"/>
      <c r="H253" s="94"/>
      <c r="I253" s="94"/>
      <c r="J253" s="94"/>
      <c r="K253" s="94"/>
      <c r="L253" s="21"/>
    </row>
    <row r="254" spans="2:16" x14ac:dyDescent="0.3">
      <c r="D254" s="804"/>
      <c r="E254" s="1042" t="s">
        <v>824</v>
      </c>
      <c r="F254" s="1235">
        <f t="shared" ref="F254:K254" si="44">F246-F243</f>
        <v>0</v>
      </c>
      <c r="G254" s="1226">
        <f t="shared" si="44"/>
        <v>935638.01380754262</v>
      </c>
      <c r="H254" s="1226">
        <f t="shared" si="44"/>
        <v>-1291305.3056401573</v>
      </c>
      <c r="I254" s="1226">
        <f t="shared" si="44"/>
        <v>-1539457.1178657636</v>
      </c>
      <c r="J254" s="1226">
        <f t="shared" si="44"/>
        <v>-2058522.0767051941</v>
      </c>
      <c r="K254" s="1226">
        <f t="shared" si="44"/>
        <v>-2151973.6028505228</v>
      </c>
      <c r="L254" s="21"/>
    </row>
    <row r="255" spans="2:16" x14ac:dyDescent="0.3">
      <c r="D255" s="804"/>
      <c r="E255" s="1042" t="s">
        <v>823</v>
      </c>
      <c r="F255" s="1235">
        <f>F246-F243</f>
        <v>0</v>
      </c>
      <c r="G255" s="1227">
        <f>G246-G244</f>
        <v>469738.01380754262</v>
      </c>
      <c r="H255" s="1227">
        <f t="shared" ref="H255:K255" si="45">H246-H244</f>
        <v>-1913105.3056401573</v>
      </c>
      <c r="I255" s="1227">
        <f t="shared" si="45"/>
        <v>-2743757.1178657636</v>
      </c>
      <c r="J255" s="1227">
        <f t="shared" si="45"/>
        <v>-3307522.076705195</v>
      </c>
      <c r="K255" s="1227">
        <f t="shared" si="45"/>
        <v>-3445473.6028505228</v>
      </c>
      <c r="L255" s="21"/>
    </row>
    <row r="256" spans="2:16" ht="7.5" customHeight="1" x14ac:dyDescent="0.3">
      <c r="D256" s="804"/>
      <c r="E256" s="94"/>
      <c r="F256" s="485"/>
      <c r="G256" s="94"/>
      <c r="H256" s="94"/>
      <c r="I256" s="94"/>
      <c r="J256" s="94"/>
      <c r="K256" s="94"/>
      <c r="L256" s="21"/>
    </row>
    <row r="257" spans="4:12" x14ac:dyDescent="0.3">
      <c r="D257" s="1113"/>
      <c r="E257" s="1116"/>
      <c r="F257" s="1117"/>
      <c r="G257" s="1116"/>
      <c r="H257" s="1116"/>
      <c r="I257" s="1116"/>
      <c r="J257" s="1114"/>
      <c r="K257" s="1114"/>
      <c r="L257" s="1115"/>
    </row>
    <row r="258" spans="4:12" ht="4.2" customHeight="1" thickBot="1" x14ac:dyDescent="0.35">
      <c r="D258" s="810"/>
      <c r="E258" s="1120"/>
      <c r="F258" s="1120"/>
      <c r="G258" s="1120"/>
      <c r="H258" s="1120"/>
      <c r="I258" s="1120"/>
      <c r="J258" s="811"/>
      <c r="K258" s="811"/>
      <c r="L258" s="812"/>
    </row>
    <row r="260" spans="4:12" x14ac:dyDescent="0.3">
      <c r="G260" s="580"/>
    </row>
    <row r="263" spans="4:12" x14ac:dyDescent="0.3">
      <c r="G263" s="580">
        <f>SUM(G226,G249)</f>
        <v>2394564</v>
      </c>
    </row>
  </sheetData>
  <mergeCells count="22">
    <mergeCell ref="O81:Q81"/>
    <mergeCell ref="O82:Q82"/>
    <mergeCell ref="O88:R88"/>
    <mergeCell ref="O79:Q79"/>
    <mergeCell ref="O65:Q65"/>
    <mergeCell ref="O66:R66"/>
    <mergeCell ref="O67:R67"/>
    <mergeCell ref="O85:R85"/>
    <mergeCell ref="O75:R75"/>
    <mergeCell ref="O80:Q80"/>
    <mergeCell ref="D13:K13"/>
    <mergeCell ref="D42:K42"/>
    <mergeCell ref="M55:M57"/>
    <mergeCell ref="O72:R72"/>
    <mergeCell ref="O60:Q60"/>
    <mergeCell ref="O61:Q61"/>
    <mergeCell ref="O63:Q63"/>
    <mergeCell ref="O64:Q64"/>
    <mergeCell ref="D43:K43"/>
    <mergeCell ref="D44:K44"/>
    <mergeCell ref="D45:K45"/>
    <mergeCell ref="E31:F31"/>
  </mergeCells>
  <phoneticPr fontId="94" type="noConversion"/>
  <pageMargins left="0.7" right="0.7" top="0.75" bottom="0.75" header="0.3" footer="0.3"/>
  <pageSetup scale="37" orientation="landscape" r:id="rId1"/>
  <ignoredErrors>
    <ignoredError sqref="F226:G229" formulaRange="1"/>
  </ignoredError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45F9-9161-4CC5-8A6A-2532638BA48D}">
  <sheetPr>
    <tabColor rgb="FFFFC000"/>
    <pageSetUpPr fitToPage="1"/>
  </sheetPr>
  <dimension ref="A1:Z200"/>
  <sheetViews>
    <sheetView showGridLines="0" topLeftCell="A162" workbookViewId="0">
      <selection activeCell="B180" sqref="B180"/>
    </sheetView>
  </sheetViews>
  <sheetFormatPr defaultRowHeight="14.4" x14ac:dyDescent="0.3"/>
  <cols>
    <col min="2" max="2" width="33" customWidth="1"/>
    <col min="3" max="4" width="2.77734375" customWidth="1"/>
    <col min="5" max="5" width="65.44140625" customWidth="1"/>
    <col min="6" max="6" width="11.88671875" hidden="1" customWidth="1"/>
    <col min="7" max="11" width="15.77734375" customWidth="1"/>
    <col min="12" max="12" width="2.77734375" customWidth="1"/>
    <col min="13" max="13" width="13" customWidth="1"/>
    <col min="14" max="14" width="2.77734375" customWidth="1"/>
    <col min="15" max="15" width="9.88671875" style="362" customWidth="1"/>
    <col min="16" max="16" width="9.21875" style="362" customWidth="1"/>
    <col min="17" max="17" width="62.21875" style="481" customWidth="1"/>
    <col min="18" max="18" width="9.21875" style="481" customWidth="1"/>
    <col min="25" max="25" width="11" bestFit="1" customWidth="1"/>
  </cols>
  <sheetData>
    <row r="1" spans="1:22" ht="15" thickBot="1" x14ac:dyDescent="0.35">
      <c r="F1" t="s">
        <v>226</v>
      </c>
      <c r="G1" t="s">
        <v>210</v>
      </c>
      <c r="H1" t="s">
        <v>227</v>
      </c>
      <c r="I1" t="s">
        <v>228</v>
      </c>
      <c r="J1" t="s">
        <v>229</v>
      </c>
      <c r="K1" t="s">
        <v>230</v>
      </c>
      <c r="O1" s="479">
        <v>1.04</v>
      </c>
      <c r="P1" s="480" t="s">
        <v>231</v>
      </c>
      <c r="Q1" s="481">
        <v>1</v>
      </c>
      <c r="R1" s="481">
        <v>1.03</v>
      </c>
      <c r="S1">
        <f>R1*$O$1</f>
        <v>1.0712000000000002</v>
      </c>
      <c r="T1">
        <f>S1*$O$1</f>
        <v>1.1140480000000001</v>
      </c>
      <c r="U1">
        <f>T1*$O$1</f>
        <v>1.1586099200000002</v>
      </c>
      <c r="V1">
        <f>U1*$O$1</f>
        <v>1.2049543168000003</v>
      </c>
    </row>
    <row r="2" spans="1:22" x14ac:dyDescent="0.3">
      <c r="A2" t="s">
        <v>195</v>
      </c>
      <c r="B2" s="849" t="s">
        <v>285</v>
      </c>
      <c r="E2" s="853" t="s">
        <v>233</v>
      </c>
      <c r="F2" s="854"/>
      <c r="G2" s="854">
        <f>'VRH Rates'!D14</f>
        <v>66.45</v>
      </c>
      <c r="H2" s="854">
        <f>G2*$O$1</f>
        <v>69.108000000000004</v>
      </c>
      <c r="I2" s="854">
        <f>H2*$O$1</f>
        <v>71.872320000000002</v>
      </c>
      <c r="J2" s="854">
        <f>I2*$O$1</f>
        <v>74.7472128</v>
      </c>
      <c r="K2" s="855">
        <f>J2*$O$1</f>
        <v>77.737101312000007</v>
      </c>
      <c r="M2" s="467"/>
      <c r="N2" s="467"/>
    </row>
    <row r="3" spans="1:22" x14ac:dyDescent="0.3">
      <c r="B3" s="850">
        <v>35129</v>
      </c>
      <c r="E3" s="856" t="s">
        <v>234</v>
      </c>
      <c r="F3" s="857"/>
      <c r="G3" s="857">
        <f>'VRH Rates'!E14</f>
        <v>1.7</v>
      </c>
      <c r="H3" s="857">
        <f>G3*$O$1</f>
        <v>1.768</v>
      </c>
      <c r="I3" s="857">
        <f>H3*$O$1</f>
        <v>1.8387200000000001</v>
      </c>
      <c r="J3" s="857">
        <f>I3*1.1</f>
        <v>2.0225920000000004</v>
      </c>
      <c r="K3" s="858">
        <f>J3*1.03</f>
        <v>2.0832697600000003</v>
      </c>
    </row>
    <row r="4" spans="1:22" x14ac:dyDescent="0.3">
      <c r="B4" s="850"/>
      <c r="F4" s="467"/>
      <c r="G4" s="467"/>
      <c r="H4" s="467"/>
      <c r="I4" s="467"/>
      <c r="J4" s="467"/>
      <c r="K4" s="467"/>
    </row>
    <row r="5" spans="1:22" x14ac:dyDescent="0.3">
      <c r="B5" s="851" t="s">
        <v>286</v>
      </c>
    </row>
    <row r="6" spans="1:22" x14ac:dyDescent="0.3">
      <c r="B6" s="852">
        <v>696698</v>
      </c>
      <c r="Q6" s="483"/>
    </row>
    <row r="7" spans="1:22" x14ac:dyDescent="0.3">
      <c r="A7" t="s">
        <v>195</v>
      </c>
      <c r="B7" s="845" t="s">
        <v>285</v>
      </c>
      <c r="E7" s="717" t="s">
        <v>233</v>
      </c>
      <c r="F7" s="719"/>
      <c r="G7" s="719">
        <f>'VRH Rates'!D15</f>
        <v>46.56</v>
      </c>
      <c r="H7" s="719">
        <f>G7*$O$1</f>
        <v>48.422400000000003</v>
      </c>
      <c r="I7" s="719">
        <f>H7*$O$1</f>
        <v>50.359296000000008</v>
      </c>
      <c r="J7" s="719">
        <f>I7*$O$1</f>
        <v>52.37366784000001</v>
      </c>
      <c r="K7" s="720">
        <f>J7*$O$1</f>
        <v>54.468614553600013</v>
      </c>
      <c r="Q7" s="483"/>
    </row>
    <row r="8" spans="1:22" x14ac:dyDescent="0.3">
      <c r="A8" t="s">
        <v>277</v>
      </c>
      <c r="B8" s="846">
        <v>27343</v>
      </c>
      <c r="E8" s="721" t="s">
        <v>234</v>
      </c>
      <c r="F8" s="723"/>
      <c r="G8" s="723">
        <v>0</v>
      </c>
      <c r="H8" s="723">
        <f>G8*$O$1</f>
        <v>0</v>
      </c>
      <c r="I8" s="723">
        <f>H8*$O$1</f>
        <v>0</v>
      </c>
      <c r="J8" s="723">
        <f>I8*1.1</f>
        <v>0</v>
      </c>
      <c r="K8" s="724">
        <f>J8*1.03</f>
        <v>0</v>
      </c>
      <c r="Q8" s="483"/>
    </row>
    <row r="9" spans="1:22" x14ac:dyDescent="0.3">
      <c r="B9" s="846"/>
      <c r="C9" s="94"/>
      <c r="D9" s="94"/>
      <c r="E9" s="94"/>
      <c r="F9" s="94"/>
      <c r="G9" s="94"/>
      <c r="H9" s="482"/>
      <c r="I9" s="482"/>
      <c r="J9" s="482"/>
      <c r="K9" s="482"/>
      <c r="L9" s="261"/>
      <c r="M9" s="94"/>
      <c r="N9" s="94"/>
      <c r="O9" s="485"/>
      <c r="P9" s="485"/>
      <c r="Q9" s="486"/>
    </row>
    <row r="10" spans="1:22" ht="15" customHeight="1" x14ac:dyDescent="0.3">
      <c r="B10" s="847" t="s">
        <v>286</v>
      </c>
      <c r="C10" s="94"/>
      <c r="D10" s="94"/>
      <c r="E10" t="s">
        <v>280</v>
      </c>
      <c r="F10" s="467"/>
      <c r="G10" s="467">
        <v>1.02</v>
      </c>
      <c r="H10" s="467">
        <f>+G10*1.02</f>
        <v>1.0404</v>
      </c>
      <c r="I10" s="467">
        <f>+H10*1.02</f>
        <v>1.0612079999999999</v>
      </c>
      <c r="J10" s="467">
        <f>+I10*1.02</f>
        <v>1.08243216</v>
      </c>
      <c r="K10" s="467">
        <f>+J10*1.02</f>
        <v>1.1040808032</v>
      </c>
      <c r="N10" s="94"/>
      <c r="O10" s="485"/>
      <c r="P10" s="485"/>
      <c r="Q10" s="486"/>
    </row>
    <row r="11" spans="1:22" ht="23.25" customHeight="1" x14ac:dyDescent="0.3">
      <c r="B11" s="848">
        <v>544889</v>
      </c>
      <c r="C11" s="94"/>
      <c r="D11" s="94"/>
      <c r="E11" t="s">
        <v>236</v>
      </c>
      <c r="F11" s="484"/>
      <c r="G11" s="687">
        <v>2.5000000000000001E-4</v>
      </c>
      <c r="H11" s="687">
        <v>2.5000000000000001E-4</v>
      </c>
      <c r="I11" s="687">
        <v>2.5000000000000001E-4</v>
      </c>
      <c r="J11" s="687">
        <v>2.5000000000000001E-4</v>
      </c>
      <c r="K11" s="687">
        <v>2.5000000000000001E-4</v>
      </c>
      <c r="M11" t="s">
        <v>249</v>
      </c>
      <c r="N11" s="94"/>
      <c r="O11" s="485"/>
      <c r="P11" s="485"/>
      <c r="Q11" s="486"/>
    </row>
    <row r="12" spans="1:22" ht="10.5" customHeight="1" thickBot="1" x14ac:dyDescent="0.35">
      <c r="B12" s="496"/>
      <c r="C12" s="94"/>
      <c r="D12" s="94"/>
      <c r="E12" s="94"/>
      <c r="F12" s="94"/>
      <c r="G12" s="94"/>
      <c r="H12" s="482"/>
      <c r="I12" s="482"/>
      <c r="J12" s="482"/>
      <c r="K12" s="482"/>
      <c r="L12" s="261"/>
      <c r="M12" s="94"/>
      <c r="N12" s="94"/>
      <c r="O12" s="485"/>
      <c r="P12" s="485"/>
      <c r="Q12" s="486"/>
    </row>
    <row r="13" spans="1:22" ht="19.5" customHeight="1" x14ac:dyDescent="0.3">
      <c r="B13" s="500"/>
      <c r="C13" s="487"/>
      <c r="D13" s="488"/>
      <c r="E13" s="488"/>
      <c r="F13" s="488"/>
      <c r="G13" s="488"/>
      <c r="H13" s="488"/>
      <c r="I13" s="488"/>
      <c r="J13" s="488"/>
      <c r="K13" s="488"/>
      <c r="L13" s="489"/>
      <c r="M13" s="490"/>
      <c r="N13" s="490"/>
      <c r="O13" s="491"/>
      <c r="P13" s="491"/>
      <c r="Q13" s="492"/>
    </row>
    <row r="14" spans="1:22" ht="22.8" x14ac:dyDescent="0.4">
      <c r="B14" s="496"/>
      <c r="C14" s="493"/>
      <c r="D14" s="1376" t="s">
        <v>895</v>
      </c>
      <c r="E14" s="1376"/>
      <c r="F14" s="1376"/>
      <c r="G14" s="1376"/>
      <c r="H14" s="1376"/>
      <c r="I14" s="1376"/>
      <c r="J14" s="1376"/>
      <c r="K14" s="1376"/>
      <c r="L14" s="494"/>
      <c r="M14" s="490"/>
      <c r="N14" s="490"/>
      <c r="O14" s="491"/>
      <c r="P14" s="491"/>
      <c r="Q14" s="492"/>
      <c r="R14" s="495"/>
    </row>
    <row r="15" spans="1:22" x14ac:dyDescent="0.3">
      <c r="B15" s="94"/>
      <c r="C15" s="493"/>
      <c r="D15" s="497"/>
      <c r="E15" s="498"/>
      <c r="F15" s="498"/>
      <c r="G15" s="497"/>
      <c r="H15" s="497"/>
      <c r="I15" s="497"/>
      <c r="J15" s="497"/>
      <c r="K15" s="497"/>
      <c r="L15" s="499"/>
      <c r="M15" s="490"/>
      <c r="N15" s="490"/>
      <c r="O15" s="491"/>
      <c r="P15" s="491"/>
      <c r="Q15" s="492"/>
      <c r="R15" s="495"/>
    </row>
    <row r="16" spans="1:22" ht="21" customHeight="1" x14ac:dyDescent="0.3">
      <c r="C16" s="501"/>
      <c r="D16" s="502" t="s">
        <v>237</v>
      </c>
      <c r="E16" s="503"/>
      <c r="F16" s="504" t="s">
        <v>226</v>
      </c>
      <c r="G16" s="505" t="s">
        <v>210</v>
      </c>
      <c r="H16" s="505" t="s">
        <v>227</v>
      </c>
      <c r="I16" s="505" t="s">
        <v>228</v>
      </c>
      <c r="J16" s="505" t="s">
        <v>229</v>
      </c>
      <c r="K16" s="505" t="s">
        <v>230</v>
      </c>
      <c r="L16" s="506"/>
      <c r="M16" s="507"/>
      <c r="N16" s="507"/>
      <c r="O16" s="508"/>
      <c r="P16" s="508"/>
      <c r="Q16" s="486"/>
      <c r="R16" s="495"/>
    </row>
    <row r="17" spans="2:23" ht="6.75" customHeight="1" x14ac:dyDescent="0.3">
      <c r="B17" s="94"/>
      <c r="C17" s="509"/>
      <c r="D17" s="492"/>
      <c r="E17" s="492"/>
      <c r="F17" s="492"/>
      <c r="G17" s="510"/>
      <c r="H17" s="510"/>
      <c r="I17" s="510"/>
      <c r="J17" s="510"/>
      <c r="K17" s="510"/>
      <c r="L17" s="511"/>
      <c r="M17" s="512"/>
      <c r="N17" s="512"/>
      <c r="O17" s="513"/>
      <c r="P17" s="513"/>
      <c r="Q17" s="492"/>
    </row>
    <row r="18" spans="2:23" ht="21" customHeight="1" x14ac:dyDescent="0.3">
      <c r="B18" s="94"/>
      <c r="C18" s="514"/>
      <c r="D18" s="515" t="s">
        <v>278</v>
      </c>
      <c r="E18" s="516"/>
      <c r="F18" s="516"/>
      <c r="G18" s="517"/>
      <c r="H18" s="517"/>
      <c r="I18" s="517"/>
      <c r="J18" s="517"/>
      <c r="K18" s="517"/>
      <c r="L18" s="518"/>
      <c r="O18" s="485"/>
      <c r="P18" s="485"/>
      <c r="Q18" s="486"/>
    </row>
    <row r="19" spans="2:23" ht="20.100000000000001" customHeight="1" x14ac:dyDescent="0.3">
      <c r="B19" s="94"/>
      <c r="C19" s="514"/>
      <c r="D19" s="516"/>
      <c r="E19" s="1258" t="s">
        <v>238</v>
      </c>
      <c r="F19" s="1259"/>
      <c r="G19" s="1260">
        <f>($B$3*G2)+($B$6*G3)</f>
        <v>3518708.6500000004</v>
      </c>
      <c r="H19" s="1260">
        <f>($B$3*H2)+($B$6*H3)</f>
        <v>3659456.9960000003</v>
      </c>
      <c r="I19" s="1260">
        <f>($B$3*I2)+($B$6*I3)</f>
        <v>3805835.2758400002</v>
      </c>
      <c r="J19" s="1260">
        <f>($B$3*J2)+($B$6*J3)</f>
        <v>4034930.6396672004</v>
      </c>
      <c r="K19" s="1261">
        <f>($B$3*K2)+($B$6*K3)</f>
        <v>4182236.5072417282</v>
      </c>
      <c r="L19" s="1262"/>
      <c r="M19" s="520"/>
      <c r="N19" s="520"/>
      <c r="O19" s="521"/>
      <c r="P19" s="521"/>
    </row>
    <row r="20" spans="2:23" ht="20.100000000000001" customHeight="1" x14ac:dyDescent="0.3">
      <c r="B20" s="94"/>
      <c r="C20" s="514"/>
      <c r="D20" s="516"/>
      <c r="E20" s="1258" t="s">
        <v>240</v>
      </c>
      <c r="F20" s="1259"/>
      <c r="G20" s="1260">
        <f>'VRH Rates'!F14</f>
        <v>3188061.3269356806</v>
      </c>
      <c r="H20" s="1260">
        <f>G20*$O$1</f>
        <v>3315583.7800131077</v>
      </c>
      <c r="I20" s="1260">
        <f>H20*$O$1</f>
        <v>3448207.1312136319</v>
      </c>
      <c r="J20" s="1260">
        <f>I20*$O$1</f>
        <v>3586135.4164621774</v>
      </c>
      <c r="K20" s="1260">
        <f>J20*$O$1</f>
        <v>3729580.8331206646</v>
      </c>
      <c r="L20" s="1262"/>
      <c r="M20" s="520"/>
      <c r="N20" s="520"/>
      <c r="O20" s="521"/>
      <c r="P20" s="521"/>
    </row>
    <row r="21" spans="2:23" ht="20.100000000000001" customHeight="1" x14ac:dyDescent="0.3">
      <c r="B21" s="94"/>
      <c r="C21" s="514"/>
      <c r="D21" s="516"/>
      <c r="E21" s="1263" t="s">
        <v>92</v>
      </c>
      <c r="F21" s="1264">
        <f t="shared" ref="F21:K21" si="0">SUM(F19:F20)</f>
        <v>0</v>
      </c>
      <c r="G21" s="1265">
        <f t="shared" si="0"/>
        <v>6706769.976935681</v>
      </c>
      <c r="H21" s="1265">
        <f t="shared" si="0"/>
        <v>6975040.776013108</v>
      </c>
      <c r="I21" s="1265">
        <f t="shared" si="0"/>
        <v>7254042.4070536327</v>
      </c>
      <c r="J21" s="1265">
        <f t="shared" si="0"/>
        <v>7621066.0561293773</v>
      </c>
      <c r="K21" s="1265">
        <f t="shared" si="0"/>
        <v>7911817.3403623924</v>
      </c>
      <c r="L21" s="1262"/>
      <c r="M21" s="520"/>
      <c r="N21" s="520"/>
      <c r="O21" s="521"/>
      <c r="P21" s="521"/>
    </row>
    <row r="22" spans="2:23" ht="7.5" customHeight="1" x14ac:dyDescent="0.3">
      <c r="B22" s="94"/>
      <c r="C22" s="514"/>
      <c r="D22" s="516"/>
      <c r="E22" s="698"/>
      <c r="F22" s="1331"/>
      <c r="G22" s="585"/>
      <c r="H22" s="585"/>
      <c r="I22" s="585"/>
      <c r="J22" s="585"/>
      <c r="K22" s="585"/>
      <c r="L22" s="527"/>
      <c r="M22" s="520"/>
      <c r="N22" s="520"/>
      <c r="O22" s="521"/>
      <c r="P22" s="521"/>
      <c r="Q22" s="701"/>
      <c r="R22" s="702"/>
      <c r="S22" s="702"/>
      <c r="T22" s="702"/>
      <c r="U22" s="702"/>
      <c r="V22" s="702"/>
    </row>
    <row r="23" spans="2:23" ht="21" customHeight="1" x14ac:dyDescent="0.3">
      <c r="B23" s="94"/>
      <c r="C23" s="514"/>
      <c r="D23" s="700" t="s">
        <v>279</v>
      </c>
      <c r="E23" s="698"/>
      <c r="F23" s="1331"/>
      <c r="G23" s="585"/>
      <c r="H23" s="585"/>
      <c r="I23" s="585"/>
      <c r="J23" s="585"/>
      <c r="K23" s="585"/>
      <c r="L23" s="527"/>
      <c r="M23" s="520"/>
      <c r="N23" s="520"/>
      <c r="O23" s="521"/>
      <c r="P23" s="521"/>
      <c r="Q23" s="701"/>
      <c r="R23" s="702"/>
      <c r="S23" s="702"/>
      <c r="T23" s="702"/>
      <c r="U23" s="702"/>
      <c r="V23" s="702"/>
    </row>
    <row r="24" spans="2:23" ht="20.100000000000001" customHeight="1" x14ac:dyDescent="0.3">
      <c r="B24" s="94" t="s">
        <v>243</v>
      </c>
      <c r="C24" s="514"/>
      <c r="D24" s="516"/>
      <c r="E24" s="1258" t="s">
        <v>238</v>
      </c>
      <c r="F24" s="1259"/>
      <c r="G24" s="1260">
        <f>($B$8*G7)+($B$11*G8)</f>
        <v>1273090.08</v>
      </c>
      <c r="H24" s="1260">
        <f>($B$8*H7)+($B$11*H8)</f>
        <v>1324013.6832000001</v>
      </c>
      <c r="I24" s="1260">
        <f>($B$8*I7)+($B$11*I8)</f>
        <v>1376974.2305280003</v>
      </c>
      <c r="J24" s="1260">
        <f>($B$8*J7)+($B$11*J8)</f>
        <v>1432053.1997491203</v>
      </c>
      <c r="K24" s="1260">
        <f>($B$8*K7)+($B$11*K8)</f>
        <v>1489335.3277390851</v>
      </c>
      <c r="L24" s="1262"/>
      <c r="M24" s="520"/>
      <c r="N24" s="520"/>
      <c r="O24" s="521"/>
      <c r="P24" s="521"/>
      <c r="Q24" s="701"/>
      <c r="R24" s="702"/>
      <c r="S24" s="702"/>
      <c r="T24" s="702"/>
      <c r="U24" s="702"/>
      <c r="V24" s="702"/>
    </row>
    <row r="25" spans="2:23" ht="20.100000000000001" customHeight="1" thickBot="1" x14ac:dyDescent="0.35">
      <c r="B25" s="94"/>
      <c r="C25" s="514"/>
      <c r="D25" s="516"/>
      <c r="E25" s="1258" t="s">
        <v>240</v>
      </c>
      <c r="F25" s="1259"/>
      <c r="G25" s="1260">
        <f>'VRH Rates'!F15</f>
        <v>1724488</v>
      </c>
      <c r="H25" s="1260">
        <f>G25*$O$1</f>
        <v>1793467.52</v>
      </c>
      <c r="I25" s="1260">
        <f>H25*$O$1</f>
        <v>1865206.2208</v>
      </c>
      <c r="J25" s="1260">
        <f>I25*$O$1</f>
        <v>1939814.469632</v>
      </c>
      <c r="K25" s="1260">
        <f>J25*$O$1</f>
        <v>2017407.04841728</v>
      </c>
      <c r="L25" s="1262"/>
      <c r="M25" s="520"/>
      <c r="N25" s="520"/>
      <c r="O25" s="521"/>
      <c r="P25" s="521"/>
      <c r="Q25" s="701"/>
      <c r="R25" s="702"/>
      <c r="S25" s="702"/>
      <c r="T25" s="702"/>
      <c r="U25" s="702"/>
      <c r="V25" s="702"/>
    </row>
    <row r="26" spans="2:23" ht="20.100000000000001" customHeight="1" x14ac:dyDescent="0.3">
      <c r="B26" s="94"/>
      <c r="C26" s="514"/>
      <c r="D26" s="516"/>
      <c r="E26" s="1263" t="s">
        <v>92</v>
      </c>
      <c r="F26" s="1264">
        <f t="shared" ref="F26:K26" si="1">SUM(F24:F25)</f>
        <v>0</v>
      </c>
      <c r="G26" s="1265">
        <f t="shared" si="1"/>
        <v>2997578.08</v>
      </c>
      <c r="H26" s="1265">
        <f t="shared" si="1"/>
        <v>3117481.2032000003</v>
      </c>
      <c r="I26" s="1265">
        <f t="shared" si="1"/>
        <v>3242180.4513280001</v>
      </c>
      <c r="J26" s="1265">
        <f t="shared" si="1"/>
        <v>3371867.6693811202</v>
      </c>
      <c r="K26" s="1265">
        <f t="shared" si="1"/>
        <v>3506742.376156365</v>
      </c>
      <c r="L26" s="1262"/>
      <c r="M26" s="520"/>
      <c r="N26" s="520"/>
      <c r="O26" s="521"/>
      <c r="P26" s="521"/>
      <c r="Q26" s="522" t="s">
        <v>239</v>
      </c>
      <c r="R26" s="523"/>
      <c r="S26" s="524"/>
      <c r="T26" s="524"/>
      <c r="U26" s="524"/>
      <c r="V26" s="524"/>
      <c r="W26" s="525"/>
    </row>
    <row r="27" spans="2:23" ht="6.75" customHeight="1" x14ac:dyDescent="0.3">
      <c r="B27" s="94"/>
      <c r="C27" s="514"/>
      <c r="D27" s="516"/>
      <c r="E27" s="698"/>
      <c r="F27" s="1331"/>
      <c r="G27" s="585"/>
      <c r="H27" s="585"/>
      <c r="I27" s="585"/>
      <c r="J27" s="585"/>
      <c r="K27" s="585"/>
      <c r="L27" s="1332"/>
      <c r="M27" s="520"/>
      <c r="N27" s="520"/>
      <c r="O27" s="521"/>
      <c r="P27" s="521"/>
      <c r="Q27" s="1131"/>
      <c r="W27" s="28"/>
    </row>
    <row r="28" spans="2:23" ht="22.95" customHeight="1" x14ac:dyDescent="0.3">
      <c r="B28" s="94"/>
      <c r="C28" s="514"/>
      <c r="D28" s="700" t="s">
        <v>724</v>
      </c>
      <c r="E28" s="698"/>
      <c r="F28" s="1331"/>
      <c r="G28" s="585"/>
      <c r="H28" s="585"/>
      <c r="I28" s="585"/>
      <c r="J28" s="585"/>
      <c r="K28" s="585"/>
      <c r="L28" s="1332"/>
      <c r="M28" s="520"/>
      <c r="N28" s="520"/>
      <c r="O28" s="521"/>
      <c r="P28" s="521"/>
      <c r="Q28" s="1131"/>
      <c r="W28" s="28"/>
    </row>
    <row r="29" spans="2:23" ht="20.100000000000001" customHeight="1" x14ac:dyDescent="0.3">
      <c r="B29" s="94"/>
      <c r="C29" s="514"/>
      <c r="D29" s="516"/>
      <c r="E29" s="1317" t="s">
        <v>641</v>
      </c>
      <c r="F29" s="1318"/>
      <c r="G29" s="1319">
        <f>'TNTTMA $'!F22</f>
        <v>694260</v>
      </c>
      <c r="H29" s="1319">
        <f>G29*$O$1</f>
        <v>722030.4</v>
      </c>
      <c r="I29" s="1319">
        <f t="shared" ref="I29:K29" si="2">H29*$O$1</f>
        <v>750911.61600000004</v>
      </c>
      <c r="J29" s="1319">
        <f t="shared" si="2"/>
        <v>780948.08064000006</v>
      </c>
      <c r="K29" s="1319">
        <f t="shared" si="2"/>
        <v>812186.0038656001</v>
      </c>
      <c r="L29" s="1333"/>
      <c r="M29" s="520"/>
      <c r="N29" s="520"/>
      <c r="O29" s="521"/>
      <c r="P29" s="521"/>
      <c r="Q29" s="1131"/>
      <c r="W29" s="28"/>
    </row>
    <row r="30" spans="2:23" ht="20.100000000000001" customHeight="1" x14ac:dyDescent="0.3">
      <c r="B30" s="94"/>
      <c r="C30" s="514"/>
      <c r="D30" s="516"/>
      <c r="E30" s="1317" t="s">
        <v>706</v>
      </c>
      <c r="F30" s="1318">
        <f>'TNTTMA $'!E43</f>
        <v>756470</v>
      </c>
      <c r="G30" s="1319">
        <f>'TNTTMA $'!F43</f>
        <v>894233</v>
      </c>
      <c r="H30" s="1319">
        <f t="shared" ref="H30:K30" si="3">G30*$O$1</f>
        <v>930002.32000000007</v>
      </c>
      <c r="I30" s="1319">
        <f t="shared" si="3"/>
        <v>967202.41280000005</v>
      </c>
      <c r="J30" s="1319">
        <f t="shared" si="3"/>
        <v>1005890.5093120001</v>
      </c>
      <c r="K30" s="1319">
        <f t="shared" si="3"/>
        <v>1046126.1296844801</v>
      </c>
      <c r="L30" s="1333"/>
      <c r="M30" s="520"/>
      <c r="N30" s="520"/>
      <c r="O30" s="521"/>
      <c r="P30" s="521"/>
      <c r="Q30" s="1131"/>
      <c r="W30" s="28"/>
    </row>
    <row r="31" spans="2:23" ht="20.100000000000001" customHeight="1" x14ac:dyDescent="0.3">
      <c r="B31" s="94"/>
      <c r="C31" s="514"/>
      <c r="D31" s="516"/>
      <c r="E31" s="1317" t="s">
        <v>714</v>
      </c>
      <c r="F31" s="1318">
        <f>'TNTTMA $'!J43</f>
        <v>220818</v>
      </c>
      <c r="G31" s="1319">
        <f>'TNTTMA $'!K43</f>
        <v>195800</v>
      </c>
      <c r="H31" s="1319">
        <f t="shared" ref="H31:K33" si="4">G31*$O$1</f>
        <v>203632</v>
      </c>
      <c r="I31" s="1319">
        <f t="shared" si="4"/>
        <v>211777.28</v>
      </c>
      <c r="J31" s="1319">
        <f t="shared" si="4"/>
        <v>220248.37119999999</v>
      </c>
      <c r="K31" s="1319">
        <f t="shared" si="4"/>
        <v>229058.306048</v>
      </c>
      <c r="L31" s="1333"/>
      <c r="M31" s="520"/>
      <c r="N31" s="520"/>
      <c r="O31" s="521"/>
      <c r="P31" s="521"/>
      <c r="Q31" s="1131"/>
      <c r="W31" s="28"/>
    </row>
    <row r="32" spans="2:23" ht="20.100000000000001" customHeight="1" x14ac:dyDescent="0.3">
      <c r="B32" s="94"/>
      <c r="C32" s="514"/>
      <c r="D32" s="516"/>
      <c r="E32" s="1317" t="s">
        <v>861</v>
      </c>
      <c r="F32" s="1318">
        <f>'TNTTMA $'!J22</f>
        <v>276289</v>
      </c>
      <c r="G32" s="1319">
        <f>'TNTTMA $'!K22</f>
        <v>321870</v>
      </c>
      <c r="H32" s="1319">
        <f t="shared" si="4"/>
        <v>334744.8</v>
      </c>
      <c r="I32" s="1319">
        <f t="shared" si="4"/>
        <v>348134.592</v>
      </c>
      <c r="J32" s="1319">
        <f t="shared" si="4"/>
        <v>362059.97568000003</v>
      </c>
      <c r="K32" s="1319">
        <f t="shared" si="4"/>
        <v>376542.37470720004</v>
      </c>
      <c r="L32" s="1333"/>
      <c r="M32" s="520"/>
      <c r="N32" s="520"/>
      <c r="O32" s="521"/>
      <c r="P32" s="521"/>
      <c r="Q32" s="1131"/>
      <c r="W32" s="28"/>
    </row>
    <row r="33" spans="2:26" ht="20.100000000000001" customHeight="1" x14ac:dyDescent="0.3">
      <c r="B33" s="94"/>
      <c r="C33" s="514"/>
      <c r="D33" s="516"/>
      <c r="E33" s="1317" t="s">
        <v>720</v>
      </c>
      <c r="F33" s="1318">
        <f>'TNTTMA $'!P22</f>
        <v>225984</v>
      </c>
      <c r="G33" s="1319">
        <f>'TNTTMA $'!Q22</f>
        <v>223823</v>
      </c>
      <c r="H33" s="1319">
        <f>G33*$O$1</f>
        <v>232775.92</v>
      </c>
      <c r="I33" s="1319">
        <f t="shared" si="4"/>
        <v>242086.95680000001</v>
      </c>
      <c r="J33" s="1319">
        <f t="shared" si="4"/>
        <v>251770.43507200002</v>
      </c>
      <c r="K33" s="1319">
        <f t="shared" si="4"/>
        <v>261841.25247488002</v>
      </c>
      <c r="L33" s="1333"/>
      <c r="M33" s="520"/>
      <c r="N33" s="520"/>
      <c r="O33" s="521"/>
      <c r="P33" s="521"/>
      <c r="Q33" s="1131"/>
      <c r="W33" s="28"/>
    </row>
    <row r="34" spans="2:26" ht="20.100000000000001" customHeight="1" x14ac:dyDescent="0.3">
      <c r="B34" s="94"/>
      <c r="C34" s="514"/>
      <c r="D34" s="516"/>
      <c r="E34" s="1320" t="s">
        <v>715</v>
      </c>
      <c r="F34" s="1321"/>
      <c r="G34" s="1322">
        <f>SUM(G29:G33)</f>
        <v>2329986</v>
      </c>
      <c r="H34" s="1322">
        <f t="shared" ref="H34:K34" si="5">SUM(H29:H33)</f>
        <v>2423185.44</v>
      </c>
      <c r="I34" s="1322">
        <f t="shared" si="5"/>
        <v>2520112.8575999998</v>
      </c>
      <c r="J34" s="1322">
        <f t="shared" si="5"/>
        <v>2620917.3719040002</v>
      </c>
      <c r="K34" s="1322">
        <f t="shared" si="5"/>
        <v>2725754.0667801602</v>
      </c>
      <c r="L34" s="1333"/>
      <c r="M34" s="520"/>
      <c r="N34" s="520"/>
      <c r="O34" s="521"/>
      <c r="P34" s="521"/>
      <c r="Q34" s="1131"/>
      <c r="W34" s="28"/>
    </row>
    <row r="35" spans="2:26" s="362" customFormat="1" ht="23.25" customHeight="1" x14ac:dyDescent="0.3">
      <c r="B35" s="485"/>
      <c r="C35" s="526"/>
      <c r="D35" s="530" t="s">
        <v>269</v>
      </c>
      <c r="E35" s="531"/>
      <c r="F35" s="532"/>
      <c r="G35" s="533"/>
      <c r="H35" s="533"/>
      <c r="I35" s="533"/>
      <c r="J35" s="533"/>
      <c r="K35" s="533"/>
      <c r="L35" s="534"/>
      <c r="M35" s="520"/>
      <c r="N35" s="520"/>
      <c r="O35" s="521"/>
      <c r="P35" s="521"/>
      <c r="Q35" s="529"/>
      <c r="R35" s="703" t="s">
        <v>210</v>
      </c>
      <c r="S35" s="703" t="s">
        <v>227</v>
      </c>
      <c r="T35" s="703" t="s">
        <v>228</v>
      </c>
      <c r="U35" s="703" t="s">
        <v>229</v>
      </c>
      <c r="V35" s="703" t="s">
        <v>230</v>
      </c>
      <c r="W35" s="28"/>
      <c r="X35"/>
      <c r="Y35"/>
      <c r="Z35"/>
    </row>
    <row r="36" spans="2:26" s="362" customFormat="1" ht="20.100000000000001" customHeight="1" x14ac:dyDescent="0.3">
      <c r="B36" s="485"/>
      <c r="C36" s="526"/>
      <c r="D36" s="535"/>
      <c r="E36" s="1327" t="str">
        <f>Q36</f>
        <v>Reinstate TART Connect Service in Incline Village</v>
      </c>
      <c r="F36" s="1328"/>
      <c r="G36" s="1329">
        <f>IF(R36=1,ROUND('[32]T5-F15-18 TART 24-25 Perf'!$L$24*O1^2,-2),0)</f>
        <v>0</v>
      </c>
      <c r="H36" s="1329">
        <f>IF(S36=1,ROUND('[32]T5-F15-18 TART 24-25 Perf'!$L$24*O1^3,-2),0)</f>
        <v>1044400</v>
      </c>
      <c r="I36" s="1329">
        <f>IF(T36=1,ROUND('[32]T5-F15-18 TART 24-25 Perf'!$L$24*O1^4,-2),0)</f>
        <v>1086200</v>
      </c>
      <c r="J36" s="1329">
        <f>IF(U36=1,ROUND('[32]T5-F15-18 TART 24-25 Perf'!$L$24*O1^5,-2),0)</f>
        <v>1129600</v>
      </c>
      <c r="K36" s="1329">
        <f>IF(V36=1,ROUND('[32]T5-F15-18 TART 24-25 Perf'!$L$24*S1^6,-2),0)</f>
        <v>1402800</v>
      </c>
      <c r="L36" s="1330"/>
      <c r="M36" s="537"/>
      <c r="N36" s="537"/>
      <c r="O36" s="521"/>
      <c r="P36" s="538"/>
      <c r="Q36" s="539" t="s">
        <v>294</v>
      </c>
      <c r="R36" s="704">
        <v>0</v>
      </c>
      <c r="S36" s="704">
        <v>1</v>
      </c>
      <c r="T36" s="704">
        <v>1</v>
      </c>
      <c r="U36" s="704">
        <v>1</v>
      </c>
      <c r="V36" s="704">
        <v>1</v>
      </c>
      <c r="W36" s="28"/>
      <c r="X36"/>
      <c r="Y36"/>
      <c r="Z36"/>
    </row>
    <row r="37" spans="2:26" s="362" customFormat="1" ht="20.100000000000001" customHeight="1" x14ac:dyDescent="0.3">
      <c r="B37" s="485"/>
      <c r="C37" s="526"/>
      <c r="D37" s="535"/>
      <c r="E37" s="1323" t="str">
        <f>Q37</f>
        <v>Increase Van Pools between Reno and Truckee/North Lake Tahoe</v>
      </c>
      <c r="F37" s="1324"/>
      <c r="G37" s="1325">
        <f>IF(R37=1,ROUND('TNTTMA $'!$J$46*O1,-2),0)</f>
        <v>25000</v>
      </c>
      <c r="H37" s="1325">
        <f>IF(S37=1,ROUND('TNTTMA $'!$J$46*O1^2,-2),0)</f>
        <v>26000</v>
      </c>
      <c r="I37" s="1325">
        <f>IF(T37=1,ROUND('TNTTMA $'!$J$46*O1^3,-2),0)</f>
        <v>0</v>
      </c>
      <c r="J37" s="1325">
        <f>IF(U37=1,ROUND('TNTTMA $'!$J$46*O1^4,-2),0)</f>
        <v>0</v>
      </c>
      <c r="K37" s="1325">
        <f>IF(V37=1,ROUND('TNTTMA $'!$J$46*O1^5,-2),0)</f>
        <v>0</v>
      </c>
      <c r="L37" s="1326"/>
      <c r="M37" s="537"/>
      <c r="N37" s="537"/>
      <c r="O37" s="521"/>
      <c r="P37" s="538"/>
      <c r="Q37" s="539" t="s">
        <v>739</v>
      </c>
      <c r="R37" s="704">
        <v>1</v>
      </c>
      <c r="S37" s="704">
        <v>1</v>
      </c>
      <c r="T37" s="704">
        <v>0</v>
      </c>
      <c r="U37" s="704">
        <v>0</v>
      </c>
      <c r="V37" s="704">
        <v>0</v>
      </c>
      <c r="W37" s="28"/>
      <c r="X37"/>
      <c r="Y37"/>
      <c r="Z37"/>
    </row>
    <row r="38" spans="2:26" s="368" customFormat="1" ht="6.9" customHeight="1" thickBot="1" x14ac:dyDescent="0.35">
      <c r="B38" s="556"/>
      <c r="C38" s="540"/>
      <c r="D38" s="541"/>
      <c r="E38" s="547"/>
      <c r="F38" s="542"/>
      <c r="G38" s="548"/>
      <c r="H38" s="548"/>
      <c r="I38" s="548"/>
      <c r="J38" s="548"/>
      <c r="K38" s="548"/>
      <c r="L38" s="534"/>
      <c r="M38" s="520"/>
      <c r="N38" s="520"/>
      <c r="O38" s="521"/>
      <c r="P38" s="549"/>
      <c r="Q38" s="550"/>
      <c r="R38" s="551"/>
      <c r="S38" s="280"/>
      <c r="T38" s="280"/>
      <c r="U38" s="280"/>
      <c r="V38" s="280"/>
      <c r="W38" s="367"/>
      <c r="X38"/>
      <c r="Y38"/>
      <c r="Z38"/>
    </row>
    <row r="39" spans="2:26" ht="20.100000000000001" customHeight="1" x14ac:dyDescent="0.3">
      <c r="B39" s="94"/>
      <c r="C39" s="526"/>
      <c r="D39" s="535"/>
      <c r="E39" s="825" t="s">
        <v>241</v>
      </c>
      <c r="F39" s="536"/>
      <c r="G39" s="528">
        <f>SUM(G36:G37)</f>
        <v>25000</v>
      </c>
      <c r="H39" s="528">
        <f t="shared" ref="H39:K39" si="6">SUM(H36:H37)</f>
        <v>1070400</v>
      </c>
      <c r="I39" s="528">
        <f t="shared" si="6"/>
        <v>1086200</v>
      </c>
      <c r="J39" s="528">
        <f t="shared" si="6"/>
        <v>1129600</v>
      </c>
      <c r="K39" s="528">
        <f t="shared" si="6"/>
        <v>1402800</v>
      </c>
      <c r="L39" s="519"/>
      <c r="M39" s="552"/>
      <c r="O39" s="521"/>
      <c r="P39" s="521"/>
      <c r="Q39" s="532"/>
    </row>
    <row r="40" spans="2:26" ht="7.5" customHeight="1" x14ac:dyDescent="0.3">
      <c r="B40" s="94"/>
      <c r="C40" s="526"/>
      <c r="D40" s="535"/>
      <c r="E40" s="553"/>
      <c r="F40" s="553"/>
      <c r="G40" s="554"/>
      <c r="H40" s="554"/>
      <c r="I40" s="554"/>
      <c r="J40" s="554"/>
      <c r="K40" s="554"/>
      <c r="L40" s="555"/>
      <c r="M40" s="520"/>
      <c r="N40" s="520"/>
      <c r="O40" s="521"/>
      <c r="P40" s="521"/>
      <c r="Q40" s="538"/>
    </row>
    <row r="41" spans="2:26" ht="21" customHeight="1" x14ac:dyDescent="0.3">
      <c r="B41" s="94"/>
      <c r="C41" s="557"/>
      <c r="D41" s="558" t="s">
        <v>281</v>
      </c>
      <c r="E41" s="553"/>
      <c r="F41" s="1334">
        <f>F21+F39</f>
        <v>0</v>
      </c>
      <c r="G41" s="559">
        <f>G21+G26+G34+G39</f>
        <v>12059334.056935681</v>
      </c>
      <c r="H41" s="559">
        <f t="shared" ref="H41:K41" si="7">H21+H26+H34+H39</f>
        <v>13586107.419213107</v>
      </c>
      <c r="I41" s="559">
        <f t="shared" si="7"/>
        <v>14102535.715981632</v>
      </c>
      <c r="J41" s="559">
        <f t="shared" si="7"/>
        <v>14743451.097414497</v>
      </c>
      <c r="K41" s="559">
        <f t="shared" si="7"/>
        <v>15547113.783298917</v>
      </c>
      <c r="L41" s="560"/>
      <c r="M41" s="561"/>
      <c r="N41" s="562"/>
      <c r="O41" s="563"/>
      <c r="P41" s="563"/>
      <c r="Q41" s="564"/>
      <c r="R41" s="565"/>
      <c r="S41" s="566"/>
      <c r="T41" s="566"/>
      <c r="U41" s="566"/>
      <c r="V41" s="566"/>
      <c r="W41" s="566"/>
      <c r="X41" s="368"/>
      <c r="Y41" s="368"/>
      <c r="Z41" s="368"/>
    </row>
    <row r="42" spans="2:26" ht="4.5" customHeight="1" x14ac:dyDescent="0.3">
      <c r="B42" s="94"/>
      <c r="C42" s="567"/>
      <c r="D42" s="568"/>
      <c r="E42" s="568"/>
      <c r="F42" s="568"/>
      <c r="G42" s="569"/>
      <c r="H42" s="570"/>
      <c r="I42" s="570"/>
      <c r="J42" s="570"/>
      <c r="K42" s="570"/>
      <c r="L42" s="571"/>
      <c r="M42" s="520"/>
      <c r="N42" s="520"/>
      <c r="O42" s="521"/>
      <c r="P42" s="521"/>
      <c r="Q42" s="532"/>
    </row>
    <row r="43" spans="2:26" ht="17.25" customHeight="1" x14ac:dyDescent="0.3">
      <c r="B43" s="94"/>
      <c r="C43" s="514"/>
      <c r="D43" s="1374" t="s">
        <v>716</v>
      </c>
      <c r="E43" s="1374"/>
      <c r="F43" s="1374"/>
      <c r="G43" s="1374"/>
      <c r="H43" s="1374"/>
      <c r="I43" s="1374"/>
      <c r="J43" s="1374"/>
      <c r="K43" s="1374"/>
      <c r="L43" s="572"/>
      <c r="M43" s="520"/>
      <c r="N43" s="520"/>
      <c r="O43" s="521"/>
      <c r="P43" s="543"/>
    </row>
    <row r="44" spans="2:26" ht="15" customHeight="1" x14ac:dyDescent="0.3">
      <c r="B44" s="94"/>
      <c r="C44" s="514"/>
      <c r="D44" s="1363" t="s">
        <v>725</v>
      </c>
      <c r="E44" s="1363"/>
      <c r="F44" s="1363"/>
      <c r="G44" s="1363"/>
      <c r="H44" s="1363"/>
      <c r="I44" s="1363"/>
      <c r="J44" s="1363"/>
      <c r="K44" s="1363"/>
      <c r="L44" s="572"/>
      <c r="M44" s="520"/>
      <c r="N44" s="520"/>
      <c r="O44" s="521"/>
      <c r="P44" s="543"/>
    </row>
    <row r="45" spans="2:26" ht="14.7" customHeight="1" x14ac:dyDescent="0.3">
      <c r="B45" s="94"/>
      <c r="C45" s="526"/>
      <c r="D45" s="573" t="s">
        <v>242</v>
      </c>
      <c r="E45" s="553"/>
      <c r="F45" s="532"/>
      <c r="G45" s="574"/>
      <c r="H45" s="532"/>
      <c r="I45" s="532"/>
      <c r="J45" s="532"/>
      <c r="K45" s="532"/>
      <c r="L45" s="575"/>
      <c r="M45" s="520"/>
      <c r="N45" s="520"/>
      <c r="O45" s="521"/>
      <c r="P45" s="521"/>
    </row>
    <row r="46" spans="2:26" ht="6" customHeight="1" thickBot="1" x14ac:dyDescent="0.35">
      <c r="B46" s="94"/>
      <c r="C46" s="576"/>
      <c r="D46" s="577"/>
      <c r="E46" s="577"/>
      <c r="F46" s="577"/>
      <c r="G46" s="578"/>
      <c r="H46" s="577"/>
      <c r="I46" s="577"/>
      <c r="J46" s="577"/>
      <c r="K46" s="577"/>
      <c r="L46" s="579"/>
      <c r="M46" s="520"/>
      <c r="N46" s="520"/>
      <c r="O46" s="521"/>
      <c r="P46" s="521"/>
    </row>
    <row r="47" spans="2:26" ht="9.75" customHeight="1" x14ac:dyDescent="0.3">
      <c r="B47" s="94"/>
      <c r="M47" s="520"/>
      <c r="N47" s="520"/>
      <c r="O47" s="521"/>
      <c r="P47" s="521"/>
      <c r="Q47" s="486"/>
    </row>
    <row r="48" spans="2:26" x14ac:dyDescent="0.3">
      <c r="G48" s="580"/>
      <c r="H48" s="371"/>
      <c r="K48" s="580"/>
      <c r="M48" s="520"/>
      <c r="N48" s="520"/>
      <c r="O48" s="521"/>
      <c r="P48" s="521"/>
    </row>
    <row r="49" spans="2:26" x14ac:dyDescent="0.3">
      <c r="B49" s="94"/>
    </row>
    <row r="50" spans="2:26" x14ac:dyDescent="0.3">
      <c r="B50" s="94"/>
      <c r="S50" s="586"/>
      <c r="T50" s="586"/>
      <c r="U50" s="586"/>
      <c r="V50" s="586"/>
      <c r="W50" s="586"/>
    </row>
    <row r="51" spans="2:26" ht="44.25" customHeight="1" x14ac:dyDescent="0.35">
      <c r="B51" s="420" t="s">
        <v>244</v>
      </c>
    </row>
    <row r="52" spans="2:26" ht="8.6999999999999993" customHeight="1" thickBot="1" x14ac:dyDescent="0.35">
      <c r="B52" s="94"/>
    </row>
    <row r="53" spans="2:26" ht="19.5" customHeight="1" x14ac:dyDescent="0.3">
      <c r="B53" s="94"/>
      <c r="C53" s="487"/>
      <c r="D53" s="488"/>
      <c r="E53" s="488"/>
      <c r="F53" s="488"/>
      <c r="G53" s="488"/>
      <c r="H53" s="488"/>
      <c r="I53" s="488"/>
      <c r="J53" s="488"/>
      <c r="K53" s="488"/>
      <c r="L53" s="488"/>
      <c r="M53" s="488"/>
      <c r="N53" s="489"/>
      <c r="O53" s="587"/>
      <c r="P53" s="587"/>
      <c r="Q53" s="588"/>
      <c r="R53" s="589"/>
    </row>
    <row r="54" spans="2:26" s="586" customFormat="1" ht="30.75" customHeight="1" x14ac:dyDescent="0.35">
      <c r="B54" s="607"/>
      <c r="C54" s="493"/>
      <c r="D54" s="1340" t="s">
        <v>856</v>
      </c>
      <c r="E54" s="590"/>
      <c r="F54" s="590"/>
      <c r="G54" s="591"/>
      <c r="H54" s="591"/>
      <c r="I54" s="591"/>
      <c r="J54" s="591"/>
      <c r="K54" s="591"/>
      <c r="L54" s="591"/>
      <c r="M54" s="1364" t="s">
        <v>245</v>
      </c>
      <c r="N54" s="592"/>
      <c r="O54" s="593"/>
      <c r="P54" s="593"/>
      <c r="Q54" s="594"/>
      <c r="R54" s="595"/>
      <c r="S54" s="476"/>
      <c r="T54" s="476"/>
      <c r="U54" s="476"/>
      <c r="V54" s="476"/>
      <c r="W54" s="476"/>
      <c r="X54"/>
      <c r="Y54"/>
      <c r="Z54"/>
    </row>
    <row r="55" spans="2:26" ht="16.5" customHeight="1" x14ac:dyDescent="0.3">
      <c r="B55" s="94"/>
      <c r="C55" s="596"/>
      <c r="D55" s="597"/>
      <c r="E55" s="598"/>
      <c r="F55" s="598"/>
      <c r="G55" s="599"/>
      <c r="H55" s="599"/>
      <c r="I55" s="599"/>
      <c r="J55" s="599"/>
      <c r="K55" s="599"/>
      <c r="L55" s="599"/>
      <c r="M55" s="1364"/>
      <c r="N55" s="592"/>
      <c r="O55" s="600"/>
      <c r="P55" s="600"/>
      <c r="Q55" s="601"/>
      <c r="R55" s="602"/>
      <c r="S55" s="476"/>
      <c r="T55" s="476"/>
      <c r="U55" s="476" t="s">
        <v>243</v>
      </c>
      <c r="V55" s="476"/>
      <c r="W55" s="476"/>
    </row>
    <row r="56" spans="2:26" ht="23.7" customHeight="1" x14ac:dyDescent="0.3">
      <c r="B56" s="94"/>
      <c r="C56" s="501"/>
      <c r="D56" s="584"/>
      <c r="E56" s="503"/>
      <c r="F56" s="504" t="s">
        <v>226</v>
      </c>
      <c r="G56" s="505" t="s">
        <v>210</v>
      </c>
      <c r="H56" s="505" t="s">
        <v>227</v>
      </c>
      <c r="I56" s="505" t="s">
        <v>228</v>
      </c>
      <c r="J56" s="505" t="s">
        <v>229</v>
      </c>
      <c r="K56" s="505" t="s">
        <v>230</v>
      </c>
      <c r="L56" s="505"/>
      <c r="M56" s="1365"/>
      <c r="N56" s="603"/>
      <c r="O56" s="604" t="s">
        <v>246</v>
      </c>
      <c r="P56" s="604"/>
      <c r="Q56" s="605"/>
      <c r="R56" s="606"/>
      <c r="S56" s="476"/>
      <c r="T56" s="476"/>
      <c r="U56" s="476"/>
      <c r="V56" s="476"/>
      <c r="W56" s="476"/>
    </row>
    <row r="57" spans="2:26" ht="8.25" customHeight="1" x14ac:dyDescent="0.3">
      <c r="B57" s="94"/>
      <c r="C57" s="608"/>
      <c r="D57" s="517"/>
      <c r="E57" s="609"/>
      <c r="F57" s="609"/>
      <c r="G57" s="609"/>
      <c r="H57" s="609"/>
      <c r="I57" s="609"/>
      <c r="J57" s="609"/>
      <c r="K57" s="609"/>
      <c r="L57" s="609"/>
      <c r="M57" s="609"/>
      <c r="N57" s="610"/>
      <c r="O57" s="485"/>
      <c r="P57" s="485"/>
      <c r="Q57" s="486"/>
      <c r="R57" s="611"/>
      <c r="S57" s="476"/>
      <c r="T57" s="476"/>
      <c r="U57" s="476"/>
      <c r="V57" s="476"/>
      <c r="W57" s="476"/>
      <c r="X57" s="586"/>
      <c r="Y57" s="586"/>
      <c r="Z57" s="586"/>
    </row>
    <row r="58" spans="2:26" s="476" customFormat="1" ht="23.7" customHeight="1" x14ac:dyDescent="0.3">
      <c r="B58" s="627"/>
      <c r="C58" s="612"/>
      <c r="D58" s="613" t="s">
        <v>827</v>
      </c>
      <c r="E58" s="614"/>
      <c r="F58" s="1243" t="s">
        <v>29</v>
      </c>
      <c r="G58" s="1341" t="s">
        <v>29</v>
      </c>
      <c r="H58" s="614"/>
      <c r="I58" s="614"/>
      <c r="J58" s="614"/>
      <c r="K58" s="614"/>
      <c r="L58" s="614"/>
      <c r="M58" s="614"/>
      <c r="N58" s="615"/>
      <c r="O58" s="616"/>
      <c r="P58" s="616"/>
      <c r="Q58" s="617"/>
      <c r="R58" s="618"/>
      <c r="T58" s="476" t="s">
        <v>247</v>
      </c>
      <c r="X58"/>
      <c r="Y58"/>
      <c r="Z58"/>
    </row>
    <row r="59" spans="2:26" s="476" customFormat="1" ht="20.100000000000001" customHeight="1" x14ac:dyDescent="0.3">
      <c r="B59" s="694"/>
      <c r="C59" s="612"/>
      <c r="D59" s="619"/>
      <c r="E59" s="1266" t="s">
        <v>753</v>
      </c>
      <c r="F59" s="1267">
        <v>2500000</v>
      </c>
      <c r="G59" s="1268">
        <v>2660000</v>
      </c>
      <c r="H59" s="1268">
        <f>ROUND(G59*1.01,-2)</f>
        <v>2686600</v>
      </c>
      <c r="I59" s="1268">
        <f t="shared" ref="I59:J59" si="8">ROUND(H59*1.01,-2)</f>
        <v>2713500</v>
      </c>
      <c r="J59" s="1268">
        <f t="shared" si="8"/>
        <v>2740600</v>
      </c>
      <c r="K59" s="1268">
        <f>ROUND(J59*1.01,-2)</f>
        <v>2768000</v>
      </c>
      <c r="L59" s="1268"/>
      <c r="M59" s="1269">
        <f t="shared" ref="M59:M64" si="9">SUM(G59:K59)</f>
        <v>13568700</v>
      </c>
      <c r="N59" s="615"/>
      <c r="O59" s="1368" t="s">
        <v>264</v>
      </c>
      <c r="P59" s="1366"/>
      <c r="Q59" s="1366"/>
      <c r="R59" s="625"/>
      <c r="S59" s="626"/>
      <c r="T59" s="626"/>
      <c r="U59" s="626"/>
      <c r="V59" s="626"/>
      <c r="W59" s="626"/>
      <c r="X59"/>
      <c r="Y59"/>
      <c r="Z59"/>
    </row>
    <row r="60" spans="2:26" s="476" customFormat="1" ht="20.100000000000001" customHeight="1" x14ac:dyDescent="0.3">
      <c r="B60" s="627"/>
      <c r="C60" s="612"/>
      <c r="D60" s="619"/>
      <c r="E60" s="1266" t="s">
        <v>752</v>
      </c>
      <c r="F60" s="1267">
        <v>450000</v>
      </c>
      <c r="G60" s="1268">
        <v>290000</v>
      </c>
      <c r="H60" s="1268">
        <f>ROUND(G60*1.01,-2)</f>
        <v>292900</v>
      </c>
      <c r="I60" s="1268">
        <f t="shared" ref="I60:K60" si="10">ROUND(H60*1.01,-2)</f>
        <v>295800</v>
      </c>
      <c r="J60" s="1268">
        <f t="shared" si="10"/>
        <v>298800</v>
      </c>
      <c r="K60" s="1268">
        <f t="shared" si="10"/>
        <v>301800</v>
      </c>
      <c r="L60" s="1268"/>
      <c r="M60" s="1269">
        <f t="shared" si="9"/>
        <v>1479300</v>
      </c>
      <c r="N60" s="615"/>
      <c r="O60" s="624"/>
      <c r="P60" s="624"/>
      <c r="Q60" s="624"/>
      <c r="R60" s="625"/>
      <c r="S60" s="626"/>
      <c r="T60" s="626"/>
      <c r="U60" s="626"/>
      <c r="V60" s="626"/>
      <c r="W60" s="626"/>
    </row>
    <row r="61" spans="2:26" s="630" customFormat="1" ht="20.100000000000001" customHeight="1" x14ac:dyDescent="0.3">
      <c r="B61" s="629"/>
      <c r="C61" s="612"/>
      <c r="D61" s="619"/>
      <c r="E61" s="1266" t="s">
        <v>749</v>
      </c>
      <c r="F61" s="1267">
        <v>2246565</v>
      </c>
      <c r="G61" s="1268">
        <f>ROUND(913053+1675000,-2)</f>
        <v>2588100</v>
      </c>
      <c r="H61" s="1268">
        <f>ROUND(G61*(1+H$11),-2)</f>
        <v>2588700</v>
      </c>
      <c r="I61" s="1268">
        <f t="shared" ref="I61:K63" si="11">ROUND(H61*(1+I$11),-2)</f>
        <v>2589300</v>
      </c>
      <c r="J61" s="1268">
        <f t="shared" si="11"/>
        <v>2589900</v>
      </c>
      <c r="K61" s="1268">
        <f t="shared" si="11"/>
        <v>2590500</v>
      </c>
      <c r="L61" s="1268"/>
      <c r="M61" s="1270">
        <f t="shared" si="9"/>
        <v>12946500</v>
      </c>
      <c r="N61" s="615"/>
      <c r="O61" s="1366" t="s">
        <v>248</v>
      </c>
      <c r="P61" s="1366"/>
      <c r="Q61" s="1366"/>
      <c r="R61" s="1367"/>
      <c r="S61" s="626"/>
      <c r="T61" s="626"/>
      <c r="U61" s="626"/>
      <c r="V61" s="626"/>
      <c r="W61" s="626"/>
      <c r="X61" s="476"/>
      <c r="Y61" s="476"/>
      <c r="Z61" s="476"/>
    </row>
    <row r="62" spans="2:26" s="630" customFormat="1" ht="20.100000000000001" customHeight="1" x14ac:dyDescent="0.3">
      <c r="B62" s="631"/>
      <c r="C62" s="612"/>
      <c r="D62" s="619"/>
      <c r="E62" s="1266" t="s">
        <v>750</v>
      </c>
      <c r="F62" s="1267">
        <v>1110118</v>
      </c>
      <c r="G62" s="1268">
        <f>ROUND(819627,-2)</f>
        <v>819600</v>
      </c>
      <c r="H62" s="1268">
        <f>ROUND(G62*(1+H$11),-2)</f>
        <v>819800</v>
      </c>
      <c r="I62" s="1268">
        <f t="shared" si="11"/>
        <v>820000</v>
      </c>
      <c r="J62" s="1268">
        <f t="shared" si="11"/>
        <v>820200</v>
      </c>
      <c r="K62" s="1268">
        <f t="shared" si="11"/>
        <v>820400</v>
      </c>
      <c r="L62" s="1268"/>
      <c r="M62" s="1270">
        <f t="shared" si="9"/>
        <v>4100000</v>
      </c>
      <c r="N62" s="615"/>
      <c r="O62" s="1366" t="s">
        <v>248</v>
      </c>
      <c r="P62" s="1366"/>
      <c r="Q62" s="1366"/>
      <c r="R62" s="1367"/>
      <c r="S62" s="626"/>
      <c r="T62" s="626"/>
      <c r="U62" s="626"/>
      <c r="V62" s="626"/>
      <c r="W62" s="626"/>
      <c r="X62" s="476"/>
      <c r="Y62" s="476"/>
      <c r="Z62" s="476"/>
    </row>
    <row r="63" spans="2:26" s="630" customFormat="1" ht="20.100000000000001" customHeight="1" x14ac:dyDescent="0.3">
      <c r="B63" s="631"/>
      <c r="C63" s="612"/>
      <c r="D63" s="619"/>
      <c r="E63" s="1266" t="s">
        <v>751</v>
      </c>
      <c r="F63" s="1267">
        <v>102929</v>
      </c>
      <c r="G63" s="1271">
        <f>ROUND(100084,-2)</f>
        <v>100100</v>
      </c>
      <c r="H63" s="1268">
        <f>ROUND(G63*(1+H$11),-2)</f>
        <v>100100</v>
      </c>
      <c r="I63" s="1268">
        <f t="shared" si="11"/>
        <v>100100</v>
      </c>
      <c r="J63" s="1268">
        <f t="shared" si="11"/>
        <v>100100</v>
      </c>
      <c r="K63" s="1268">
        <f t="shared" si="11"/>
        <v>100100</v>
      </c>
      <c r="L63" s="1268"/>
      <c r="M63" s="1270">
        <f t="shared" si="9"/>
        <v>500500</v>
      </c>
      <c r="N63" s="615"/>
      <c r="O63" s="1366" t="s">
        <v>248</v>
      </c>
      <c r="P63" s="1366"/>
      <c r="Q63" s="1366"/>
      <c r="R63" s="1367"/>
      <c r="S63" s="626"/>
      <c r="T63" s="626"/>
      <c r="U63" s="626"/>
      <c r="V63" s="626"/>
      <c r="W63" s="626"/>
      <c r="X63" s="476"/>
      <c r="Y63" s="476"/>
      <c r="Z63" s="476"/>
    </row>
    <row r="64" spans="2:26" s="630" customFormat="1" ht="20.100000000000001" customHeight="1" x14ac:dyDescent="0.3">
      <c r="B64" s="631"/>
      <c r="C64" s="612"/>
      <c r="D64" s="619"/>
      <c r="E64" s="1272" t="s">
        <v>813</v>
      </c>
      <c r="F64" s="1273">
        <f t="shared" ref="F64:K64" si="12">SUM(F59:F63)</f>
        <v>6409612</v>
      </c>
      <c r="G64" s="1274">
        <f t="shared" si="12"/>
        <v>6457800</v>
      </c>
      <c r="H64" s="1274">
        <f t="shared" si="12"/>
        <v>6488100</v>
      </c>
      <c r="I64" s="1274">
        <f t="shared" si="12"/>
        <v>6518700</v>
      </c>
      <c r="J64" s="1274">
        <f t="shared" si="12"/>
        <v>6549600</v>
      </c>
      <c r="K64" s="1274">
        <f t="shared" si="12"/>
        <v>6580800</v>
      </c>
      <c r="L64" s="1273"/>
      <c r="M64" s="1275">
        <f t="shared" si="9"/>
        <v>32595000</v>
      </c>
      <c r="N64" s="615"/>
      <c r="O64" s="690"/>
      <c r="P64" s="690"/>
      <c r="Q64" s="690"/>
      <c r="R64" s="691"/>
      <c r="S64" s="626"/>
      <c r="T64" s="626"/>
      <c r="U64" s="626"/>
      <c r="V64" s="626"/>
      <c r="W64" s="626"/>
      <c r="X64" s="476"/>
      <c r="Y64" s="476"/>
      <c r="Z64" s="476"/>
    </row>
    <row r="65" spans="2:26" ht="15" customHeight="1" x14ac:dyDescent="0.3">
      <c r="B65" s="94"/>
      <c r="C65" s="608"/>
      <c r="D65" s="517"/>
      <c r="E65" s="609"/>
      <c r="F65" s="609"/>
      <c r="G65" s="1244"/>
      <c r="H65" s="609"/>
      <c r="I65" s="609"/>
      <c r="J65" s="609"/>
      <c r="K65" s="609"/>
      <c r="L65" s="609"/>
      <c r="M65" s="609"/>
      <c r="N65" s="610"/>
      <c r="O65" s="485"/>
      <c r="P65" s="485"/>
      <c r="Q65" s="486"/>
      <c r="R65" s="611"/>
      <c r="S65" s="476"/>
      <c r="T65" s="476"/>
      <c r="U65" s="476"/>
      <c r="V65" s="476"/>
      <c r="W65" s="476"/>
      <c r="X65" s="586"/>
      <c r="Y65" s="586"/>
      <c r="Z65" s="586"/>
    </row>
    <row r="66" spans="2:26" s="476" customFormat="1" ht="23.7" customHeight="1" x14ac:dyDescent="0.3">
      <c r="B66" s="627"/>
      <c r="C66" s="612"/>
      <c r="D66" s="613" t="s">
        <v>815</v>
      </c>
      <c r="E66" s="614"/>
      <c r="F66" s="1243"/>
      <c r="G66" s="688"/>
      <c r="H66" s="614"/>
      <c r="I66" s="614"/>
      <c r="J66" s="614"/>
      <c r="K66" s="614"/>
      <c r="L66" s="614"/>
      <c r="M66" s="614"/>
      <c r="N66" s="615"/>
      <c r="O66" s="616"/>
      <c r="P66" s="616"/>
      <c r="Q66" s="617"/>
      <c r="R66" s="618"/>
      <c r="T66" s="476" t="s">
        <v>247</v>
      </c>
      <c r="X66"/>
      <c r="Y66"/>
      <c r="Z66"/>
    </row>
    <row r="67" spans="2:26" s="476" customFormat="1" ht="23.7" customHeight="1" x14ac:dyDescent="0.3">
      <c r="B67" s="627"/>
      <c r="C67" s="612"/>
      <c r="D67" s="613"/>
      <c r="E67" s="633" t="s">
        <v>729</v>
      </c>
      <c r="F67" s="1243"/>
      <c r="G67" s="688"/>
      <c r="H67" s="614"/>
      <c r="I67" s="614"/>
      <c r="J67" s="614"/>
      <c r="K67" s="614"/>
      <c r="L67" s="614"/>
      <c r="M67" s="614"/>
      <c r="N67" s="615"/>
      <c r="O67" s="616"/>
      <c r="P67" s="616"/>
      <c r="Q67" s="617"/>
      <c r="R67" s="618"/>
      <c r="X67"/>
      <c r="Y67"/>
      <c r="Z67"/>
    </row>
    <row r="68" spans="2:26" s="476" customFormat="1" ht="20.100000000000001" customHeight="1" x14ac:dyDescent="0.3">
      <c r="C68" s="612"/>
      <c r="D68" s="619"/>
      <c r="E68" s="1276" t="s">
        <v>253</v>
      </c>
      <c r="F68" s="1267">
        <v>5463510</v>
      </c>
      <c r="G68" s="1277">
        <f>2900000+150000+1874954+277500+144946</f>
        <v>5347400</v>
      </c>
      <c r="H68" s="1277">
        <f>ROUND(G68*$O$1,-1)</f>
        <v>5561300</v>
      </c>
      <c r="I68" s="1277">
        <f t="shared" ref="I68:K68" si="13">ROUND(H68*$O$1,-1)</f>
        <v>5783750</v>
      </c>
      <c r="J68" s="1277">
        <f t="shared" si="13"/>
        <v>6015100</v>
      </c>
      <c r="K68" s="1277">
        <f t="shared" si="13"/>
        <v>6255700</v>
      </c>
      <c r="L68" s="1268"/>
      <c r="M68" s="1269">
        <f>SUM(G68:K68)</f>
        <v>28963250</v>
      </c>
      <c r="N68" s="615"/>
      <c r="O68" s="624" t="s">
        <v>754</v>
      </c>
      <c r="P68" s="624"/>
      <c r="Q68" s="624"/>
      <c r="R68" s="625"/>
    </row>
    <row r="69" spans="2:26" s="476" customFormat="1" ht="20.100000000000001" customHeight="1" x14ac:dyDescent="0.3">
      <c r="C69" s="612"/>
      <c r="D69" s="619"/>
      <c r="E69" s="1276" t="s">
        <v>252</v>
      </c>
      <c r="F69" s="1267">
        <v>288746</v>
      </c>
      <c r="G69" s="1277">
        <v>296055</v>
      </c>
      <c r="H69" s="1277">
        <f>ROUND(G69*1.02,-2)</f>
        <v>302000</v>
      </c>
      <c r="I69" s="1277">
        <f t="shared" ref="I69:K69" si="14">ROUND(H69*1.02,-2)</f>
        <v>308000</v>
      </c>
      <c r="J69" s="1277">
        <f t="shared" si="14"/>
        <v>314200</v>
      </c>
      <c r="K69" s="1277">
        <f t="shared" si="14"/>
        <v>320500</v>
      </c>
      <c r="L69" s="1268"/>
      <c r="M69" s="1269">
        <f t="shared" ref="M69:M73" si="15">SUM(G69:K69)</f>
        <v>1540755</v>
      </c>
      <c r="N69" s="615"/>
      <c r="O69" s="1368" t="s">
        <v>282</v>
      </c>
      <c r="P69" s="1366"/>
      <c r="Q69" s="1366"/>
      <c r="R69" s="625"/>
    </row>
    <row r="70" spans="2:26" s="476" customFormat="1" ht="20.100000000000001" customHeight="1" x14ac:dyDescent="0.3">
      <c r="C70" s="612"/>
      <c r="D70" s="619"/>
      <c r="E70" s="1276" t="s">
        <v>254</v>
      </c>
      <c r="F70" s="1267">
        <v>256402</v>
      </c>
      <c r="G70" s="1277">
        <v>230478</v>
      </c>
      <c r="H70" s="1277">
        <f>ROUND(G70,-2)</f>
        <v>230500</v>
      </c>
      <c r="I70" s="1277">
        <f t="shared" ref="H70:K72" si="16">H70</f>
        <v>230500</v>
      </c>
      <c r="J70" s="1277">
        <f t="shared" si="16"/>
        <v>230500</v>
      </c>
      <c r="K70" s="1277">
        <f t="shared" si="16"/>
        <v>230500</v>
      </c>
      <c r="L70" s="1268"/>
      <c r="M70" s="1269">
        <f t="shared" si="15"/>
        <v>1152478</v>
      </c>
      <c r="N70" s="615"/>
      <c r="O70" s="624" t="s">
        <v>283</v>
      </c>
      <c r="P70" s="624"/>
      <c r="Q70" s="624"/>
      <c r="R70" s="625"/>
    </row>
    <row r="71" spans="2:26" s="476" customFormat="1" ht="20.100000000000001" customHeight="1" x14ac:dyDescent="0.3">
      <c r="C71" s="612"/>
      <c r="D71" s="619"/>
      <c r="E71" s="1276" t="s">
        <v>255</v>
      </c>
      <c r="F71" s="1267">
        <v>60000</v>
      </c>
      <c r="G71" s="1277">
        <v>47900</v>
      </c>
      <c r="H71" s="1277">
        <f t="shared" si="16"/>
        <v>47900</v>
      </c>
      <c r="I71" s="1277">
        <f t="shared" si="16"/>
        <v>47900</v>
      </c>
      <c r="J71" s="1277">
        <f t="shared" si="16"/>
        <v>47900</v>
      </c>
      <c r="K71" s="1277">
        <f t="shared" si="16"/>
        <v>47900</v>
      </c>
      <c r="L71" s="1268"/>
      <c r="M71" s="1269">
        <f t="shared" si="15"/>
        <v>239500</v>
      </c>
      <c r="N71" s="615"/>
      <c r="O71" s="624" t="s">
        <v>283</v>
      </c>
      <c r="P71" s="624"/>
      <c r="Q71" s="624"/>
      <c r="R71" s="625"/>
    </row>
    <row r="72" spans="2:26" s="476" customFormat="1" ht="20.100000000000001" customHeight="1" x14ac:dyDescent="0.3">
      <c r="C72" s="612"/>
      <c r="D72" s="619"/>
      <c r="E72" s="1276" t="s">
        <v>256</v>
      </c>
      <c r="F72" s="1267">
        <v>148500</v>
      </c>
      <c r="G72" s="1277">
        <v>139000</v>
      </c>
      <c r="H72" s="1277">
        <f t="shared" si="16"/>
        <v>139000</v>
      </c>
      <c r="I72" s="1277">
        <f t="shared" si="16"/>
        <v>139000</v>
      </c>
      <c r="J72" s="1277">
        <f t="shared" si="16"/>
        <v>139000</v>
      </c>
      <c r="K72" s="1277">
        <f t="shared" si="16"/>
        <v>139000</v>
      </c>
      <c r="L72" s="1268"/>
      <c r="M72" s="1269">
        <f t="shared" si="15"/>
        <v>695000</v>
      </c>
      <c r="N72" s="615"/>
      <c r="O72" s="624" t="s">
        <v>283</v>
      </c>
      <c r="P72" s="624"/>
      <c r="Q72" s="624"/>
      <c r="R72" s="625"/>
    </row>
    <row r="73" spans="2:26" s="476" customFormat="1" ht="20.100000000000001" customHeight="1" x14ac:dyDescent="0.3">
      <c r="C73" s="612"/>
      <c r="D73" s="619"/>
      <c r="E73" s="1276" t="s">
        <v>257</v>
      </c>
      <c r="F73" s="1267">
        <v>50000</v>
      </c>
      <c r="G73" s="1277">
        <v>0</v>
      </c>
      <c r="H73" s="1277">
        <v>0</v>
      </c>
      <c r="I73" s="1277">
        <v>0</v>
      </c>
      <c r="J73" s="1277">
        <v>0</v>
      </c>
      <c r="K73" s="1277">
        <v>0</v>
      </c>
      <c r="L73" s="1268"/>
      <c r="M73" s="1269">
        <f t="shared" si="15"/>
        <v>0</v>
      </c>
      <c r="N73" s="615"/>
      <c r="O73" s="624"/>
      <c r="P73" s="624"/>
      <c r="Q73" s="624"/>
      <c r="R73" s="625"/>
    </row>
    <row r="74" spans="2:26" s="627" customFormat="1" ht="9" customHeight="1" x14ac:dyDescent="0.3">
      <c r="B74" s="632"/>
      <c r="C74" s="612"/>
      <c r="D74" s="619"/>
      <c r="E74" s="614"/>
      <c r="F74" s="1242"/>
      <c r="G74" s="689"/>
      <c r="H74" s="689"/>
      <c r="I74" s="689"/>
      <c r="J74" s="689"/>
      <c r="K74" s="689"/>
      <c r="L74" s="641"/>
      <c r="M74" s="641"/>
      <c r="N74" s="615"/>
      <c r="O74" s="690"/>
      <c r="P74" s="690"/>
      <c r="Q74" s="690"/>
      <c r="R74" s="691"/>
      <c r="S74" s="476"/>
      <c r="T74" s="476"/>
      <c r="U74" s="476"/>
      <c r="V74" s="476"/>
      <c r="W74" s="476"/>
      <c r="X74" s="476"/>
      <c r="Y74" s="476"/>
      <c r="Z74" s="476"/>
    </row>
    <row r="75" spans="2:26" s="476" customFormat="1" ht="23.7" customHeight="1" x14ac:dyDescent="0.3">
      <c r="B75" s="627"/>
      <c r="C75" s="612"/>
      <c r="D75" s="613"/>
      <c r="E75" s="633" t="s">
        <v>730</v>
      </c>
      <c r="F75" s="1243"/>
      <c r="G75" s="688"/>
      <c r="H75" s="614"/>
      <c r="I75" s="614"/>
      <c r="J75" s="614"/>
      <c r="K75" s="614"/>
      <c r="L75" s="614"/>
      <c r="M75" s="614"/>
      <c r="N75" s="615"/>
      <c r="O75" s="616"/>
      <c r="P75" s="616"/>
      <c r="Q75" s="617"/>
      <c r="R75" s="618"/>
      <c r="X75"/>
      <c r="Y75"/>
      <c r="Z75"/>
    </row>
    <row r="76" spans="2:26" s="476" customFormat="1" ht="20.100000000000001" customHeight="1" x14ac:dyDescent="0.3">
      <c r="C76" s="612"/>
      <c r="D76" s="619"/>
      <c r="E76" s="1308" t="s">
        <v>253</v>
      </c>
      <c r="F76" s="1309">
        <f>SUM('TNTTMA $'!F9,'TNTTMA $'!E29,'TNTTMA $'!J29,'TNTTMA $'!P9)</f>
        <v>686713</v>
      </c>
      <c r="G76" s="1310">
        <f>'TNTTMA $'!V9</f>
        <v>1290060</v>
      </c>
      <c r="H76" s="1310">
        <f>ROUND(G76*$O$1,-2)</f>
        <v>1341700</v>
      </c>
      <c r="I76" s="1310">
        <f t="shared" ref="I76:K76" si="17">ROUND(H76*$O$1,-2)</f>
        <v>1395400</v>
      </c>
      <c r="J76" s="1310">
        <f t="shared" si="17"/>
        <v>1451200</v>
      </c>
      <c r="K76" s="1310">
        <f t="shared" si="17"/>
        <v>1509200</v>
      </c>
      <c r="L76" s="1311"/>
      <c r="M76" s="1312">
        <f>SUM(G76:K76)</f>
        <v>6987560</v>
      </c>
      <c r="N76" s="615"/>
      <c r="O76" s="624" t="s">
        <v>734</v>
      </c>
      <c r="P76" s="624"/>
      <c r="Q76" s="624"/>
      <c r="R76" s="625"/>
    </row>
    <row r="77" spans="2:26" s="476" customFormat="1" ht="20.100000000000001" customHeight="1" x14ac:dyDescent="0.3">
      <c r="C77" s="612"/>
      <c r="D77" s="619"/>
      <c r="E77" s="1313" t="s">
        <v>731</v>
      </c>
      <c r="F77" s="1309">
        <f>SUM('TNTTMA $'!E30)</f>
        <v>487173</v>
      </c>
      <c r="G77" s="1310">
        <f>'TNTTMA $'!V10</f>
        <v>0</v>
      </c>
      <c r="H77" s="1310">
        <f>G77</f>
        <v>0</v>
      </c>
      <c r="I77" s="1310">
        <f t="shared" ref="I77:K77" si="18">H77</f>
        <v>0</v>
      </c>
      <c r="J77" s="1310">
        <f t="shared" si="18"/>
        <v>0</v>
      </c>
      <c r="K77" s="1310">
        <f t="shared" si="18"/>
        <v>0</v>
      </c>
      <c r="L77" s="1311"/>
      <c r="M77" s="1312">
        <f t="shared" ref="M77:M89" si="19">SUM(G77:K77)</f>
        <v>0</v>
      </c>
      <c r="N77" s="615"/>
      <c r="O77" s="624" t="s">
        <v>735</v>
      </c>
      <c r="P77" s="624"/>
      <c r="Q77" s="624"/>
      <c r="R77" s="625"/>
    </row>
    <row r="78" spans="2:26" s="476" customFormat="1" ht="20.100000000000001" customHeight="1" x14ac:dyDescent="0.3">
      <c r="C78" s="612"/>
      <c r="D78" s="619"/>
      <c r="E78" s="1313" t="s">
        <v>693</v>
      </c>
      <c r="F78" s="1309">
        <f>SUM('TNTTMA $'!F11)</f>
        <v>12500</v>
      </c>
      <c r="G78" s="1310">
        <f>'TNTTMA $'!V11</f>
        <v>12500</v>
      </c>
      <c r="H78" s="1310">
        <f>G78</f>
        <v>12500</v>
      </c>
      <c r="I78" s="1310">
        <f t="shared" ref="I78:K78" si="20">H78</f>
        <v>12500</v>
      </c>
      <c r="J78" s="1310">
        <f t="shared" si="20"/>
        <v>12500</v>
      </c>
      <c r="K78" s="1310">
        <f t="shared" si="20"/>
        <v>12500</v>
      </c>
      <c r="L78" s="1311"/>
      <c r="M78" s="1312">
        <f t="shared" si="19"/>
        <v>62500</v>
      </c>
      <c r="N78" s="615"/>
      <c r="O78" s="624" t="s">
        <v>735</v>
      </c>
      <c r="P78" s="624"/>
      <c r="Q78" s="624"/>
      <c r="R78" s="625"/>
    </row>
    <row r="79" spans="2:26" s="476" customFormat="1" ht="20.100000000000001" customHeight="1" x14ac:dyDescent="0.3">
      <c r="C79" s="612"/>
      <c r="D79" s="619"/>
      <c r="E79" s="1313" t="s">
        <v>744</v>
      </c>
      <c r="F79" s="1309"/>
      <c r="G79" s="1310">
        <f>'TNTTMA $'!V12</f>
        <v>16339</v>
      </c>
      <c r="H79" s="1310">
        <f>ROUND(G79,-2)</f>
        <v>16300</v>
      </c>
      <c r="I79" s="1310">
        <f t="shared" ref="I79:K79" si="21">ROUND(H79,-2)</f>
        <v>16300</v>
      </c>
      <c r="J79" s="1310">
        <f t="shared" si="21"/>
        <v>16300</v>
      </c>
      <c r="K79" s="1310">
        <f t="shared" si="21"/>
        <v>16300</v>
      </c>
      <c r="L79" s="1311"/>
      <c r="M79" s="1312">
        <f t="shared" si="19"/>
        <v>81539</v>
      </c>
      <c r="N79" s="615"/>
      <c r="O79" s="624"/>
      <c r="P79" s="624"/>
      <c r="Q79" s="624"/>
      <c r="R79" s="625"/>
    </row>
    <row r="80" spans="2:26" s="476" customFormat="1" ht="20.100000000000001" customHeight="1" x14ac:dyDescent="0.3">
      <c r="C80" s="612"/>
      <c r="D80" s="619"/>
      <c r="E80" s="1308" t="s">
        <v>254</v>
      </c>
      <c r="F80" s="1309">
        <f>SUM('TNTTMA $'!F13,'TNTTMA $'!P10)</f>
        <v>36764</v>
      </c>
      <c r="G80" s="1310">
        <f>'TNTTMA $'!V13</f>
        <v>37615</v>
      </c>
      <c r="H80" s="1310">
        <f>ROUND(G80,-2)</f>
        <v>37600</v>
      </c>
      <c r="I80" s="1310">
        <f t="shared" ref="I80" si="22">H80</f>
        <v>37600</v>
      </c>
      <c r="J80" s="1310">
        <f t="shared" ref="J80" si="23">I80</f>
        <v>37600</v>
      </c>
      <c r="K80" s="1310">
        <f t="shared" ref="K80" si="24">J80</f>
        <v>37600</v>
      </c>
      <c r="L80" s="1311"/>
      <c r="M80" s="1312">
        <f t="shared" si="19"/>
        <v>188015</v>
      </c>
      <c r="N80" s="615"/>
      <c r="O80" s="624"/>
      <c r="P80" s="624"/>
      <c r="Q80" s="624"/>
      <c r="R80" s="625"/>
    </row>
    <row r="81" spans="2:26" s="476" customFormat="1" ht="20.100000000000001" customHeight="1" x14ac:dyDescent="0.3">
      <c r="C81" s="612"/>
      <c r="D81" s="619"/>
      <c r="E81" s="1313" t="s">
        <v>745</v>
      </c>
      <c r="F81" s="1309"/>
      <c r="G81" s="1310">
        <f>'TNTTMA $'!V14</f>
        <v>2927</v>
      </c>
      <c r="H81" s="1310">
        <f>ROUND(G81,-2)</f>
        <v>2900</v>
      </c>
      <c r="I81" s="1310">
        <f t="shared" ref="I81:K81" si="25">ROUND(H81,-2)</f>
        <v>2900</v>
      </c>
      <c r="J81" s="1310">
        <f t="shared" si="25"/>
        <v>2900</v>
      </c>
      <c r="K81" s="1310">
        <f t="shared" si="25"/>
        <v>2900</v>
      </c>
      <c r="L81" s="1311"/>
      <c r="M81" s="1312">
        <f t="shared" si="19"/>
        <v>14527</v>
      </c>
      <c r="N81" s="615"/>
      <c r="O81" s="624"/>
      <c r="P81" s="624"/>
      <c r="Q81" s="624"/>
      <c r="R81" s="625"/>
    </row>
    <row r="82" spans="2:26" s="476" customFormat="1" ht="20.100000000000001" customHeight="1" x14ac:dyDescent="0.3">
      <c r="C82" s="612"/>
      <c r="D82" s="619"/>
      <c r="E82" s="1313" t="s">
        <v>694</v>
      </c>
      <c r="F82" s="1309">
        <f>'TNTTMA $'!F12</f>
        <v>12500</v>
      </c>
      <c r="G82" s="1310">
        <f>'TNTTMA $'!V15</f>
        <v>12500</v>
      </c>
      <c r="H82" s="1310">
        <f t="shared" ref="H82:H86" si="26">G82</f>
        <v>12500</v>
      </c>
      <c r="I82" s="1310">
        <f t="shared" ref="I82:I89" si="27">H82</f>
        <v>12500</v>
      </c>
      <c r="J82" s="1310">
        <f t="shared" ref="J82:J89" si="28">I82</f>
        <v>12500</v>
      </c>
      <c r="K82" s="1310">
        <f t="shared" ref="K82:K89" si="29">J82</f>
        <v>12500</v>
      </c>
      <c r="L82" s="1311"/>
      <c r="M82" s="1312">
        <f t="shared" si="19"/>
        <v>62500</v>
      </c>
      <c r="N82" s="615"/>
      <c r="O82" s="624"/>
      <c r="P82" s="624"/>
      <c r="Q82" s="624"/>
      <c r="R82" s="625"/>
    </row>
    <row r="83" spans="2:26" s="476" customFormat="1" ht="20.100000000000001" customHeight="1" x14ac:dyDescent="0.3">
      <c r="C83" s="612"/>
      <c r="D83" s="619"/>
      <c r="E83" s="1313" t="s">
        <v>736</v>
      </c>
      <c r="F83" s="1309">
        <f>'TNTTMA $'!E32</f>
        <v>21413</v>
      </c>
      <c r="G83" s="1310">
        <f>'TNTTMA $'!V16</f>
        <v>3862</v>
      </c>
      <c r="H83" s="1310">
        <f>ROUND(G83,-2)</f>
        <v>3900</v>
      </c>
      <c r="I83" s="1310">
        <f t="shared" si="27"/>
        <v>3900</v>
      </c>
      <c r="J83" s="1310">
        <f t="shared" si="28"/>
        <v>3900</v>
      </c>
      <c r="K83" s="1310">
        <f t="shared" si="29"/>
        <v>3900</v>
      </c>
      <c r="L83" s="1311"/>
      <c r="M83" s="1312">
        <f t="shared" si="19"/>
        <v>19462</v>
      </c>
      <c r="N83" s="615"/>
      <c r="O83" s="624"/>
      <c r="P83" s="624"/>
      <c r="Q83" s="624"/>
      <c r="R83" s="625"/>
    </row>
    <row r="84" spans="2:26" s="476" customFormat="1" ht="20.100000000000001" customHeight="1" x14ac:dyDescent="0.3">
      <c r="C84" s="612"/>
      <c r="D84" s="619"/>
      <c r="E84" s="1313" t="s">
        <v>732</v>
      </c>
      <c r="F84" s="1309">
        <f>'TNTTMA $'!E33</f>
        <v>119304</v>
      </c>
      <c r="G84" s="1310">
        <f>'TNTTMA $'!V17</f>
        <v>124076</v>
      </c>
      <c r="H84" s="1310">
        <f>ROUND(G84,-2)</f>
        <v>124100</v>
      </c>
      <c r="I84" s="1310">
        <f t="shared" si="27"/>
        <v>124100</v>
      </c>
      <c r="J84" s="1310">
        <f t="shared" si="28"/>
        <v>124100</v>
      </c>
      <c r="K84" s="1310">
        <f t="shared" si="29"/>
        <v>124100</v>
      </c>
      <c r="L84" s="1311"/>
      <c r="M84" s="1312">
        <f t="shared" si="19"/>
        <v>620476</v>
      </c>
      <c r="N84" s="615"/>
      <c r="O84" s="624"/>
      <c r="P84" s="624"/>
      <c r="Q84" s="624"/>
      <c r="R84" s="625"/>
    </row>
    <row r="85" spans="2:26" s="476" customFormat="1" ht="20.100000000000001" customHeight="1" x14ac:dyDescent="0.3">
      <c r="C85" s="612"/>
      <c r="D85" s="619"/>
      <c r="E85" s="1313" t="s">
        <v>626</v>
      </c>
      <c r="F85" s="1309">
        <f>SUM('TNTTMA $'!F10,'TNTTMA $'!P12)</f>
        <v>36421</v>
      </c>
      <c r="G85" s="1310">
        <f>'TNTTMA $'!V18</f>
        <v>26421</v>
      </c>
      <c r="H85" s="1310">
        <f>ROUND(G85,-2)</f>
        <v>26400</v>
      </c>
      <c r="I85" s="1310">
        <f t="shared" si="27"/>
        <v>26400</v>
      </c>
      <c r="J85" s="1310">
        <f t="shared" si="28"/>
        <v>26400</v>
      </c>
      <c r="K85" s="1310">
        <f t="shared" si="29"/>
        <v>26400</v>
      </c>
      <c r="L85" s="1311"/>
      <c r="M85" s="1312">
        <f t="shared" si="19"/>
        <v>132021</v>
      </c>
      <c r="N85" s="615"/>
      <c r="O85" s="624"/>
      <c r="P85" s="624"/>
      <c r="Q85" s="624"/>
      <c r="R85" s="625"/>
    </row>
    <row r="86" spans="2:26" s="476" customFormat="1" ht="20.100000000000001" customHeight="1" x14ac:dyDescent="0.3">
      <c r="C86" s="612"/>
      <c r="D86" s="619"/>
      <c r="E86" s="1313" t="s">
        <v>721</v>
      </c>
      <c r="F86" s="1309">
        <f>'TNTTMA $'!P11</f>
        <v>20000</v>
      </c>
      <c r="G86" s="1310">
        <f>'TNTTMA $'!V19</f>
        <v>20000</v>
      </c>
      <c r="H86" s="1310">
        <f t="shared" si="26"/>
        <v>20000</v>
      </c>
      <c r="I86" s="1310">
        <f t="shared" si="27"/>
        <v>20000</v>
      </c>
      <c r="J86" s="1310">
        <f t="shared" si="28"/>
        <v>20000</v>
      </c>
      <c r="K86" s="1310">
        <f t="shared" si="29"/>
        <v>20000</v>
      </c>
      <c r="L86" s="1311"/>
      <c r="M86" s="1312">
        <f t="shared" si="19"/>
        <v>100000</v>
      </c>
      <c r="N86" s="615"/>
      <c r="O86" s="624"/>
      <c r="P86" s="624"/>
      <c r="Q86" s="624"/>
      <c r="R86" s="625"/>
    </row>
    <row r="87" spans="2:26" s="476" customFormat="1" ht="20.100000000000001" customHeight="1" x14ac:dyDescent="0.3">
      <c r="C87" s="612"/>
      <c r="D87" s="619"/>
      <c r="E87" s="1313" t="s">
        <v>737</v>
      </c>
      <c r="F87" s="1309">
        <f>'TNTTMA $'!E15</f>
        <v>445263</v>
      </c>
      <c r="G87" s="1310">
        <f>'TNTTMA $'!V20</f>
        <v>377656</v>
      </c>
      <c r="H87" s="1310">
        <f>ROUND(G87,-2)</f>
        <v>377700</v>
      </c>
      <c r="I87" s="1310">
        <f t="shared" si="27"/>
        <v>377700</v>
      </c>
      <c r="J87" s="1310">
        <f t="shared" si="28"/>
        <v>377700</v>
      </c>
      <c r="K87" s="1310">
        <f t="shared" si="29"/>
        <v>377700</v>
      </c>
      <c r="L87" s="1311"/>
      <c r="M87" s="1312">
        <f t="shared" si="19"/>
        <v>1888456</v>
      </c>
      <c r="N87" s="615"/>
      <c r="O87" s="690"/>
      <c r="P87" s="690"/>
      <c r="Q87" s="690"/>
      <c r="R87" s="691"/>
    </row>
    <row r="88" spans="2:26" s="476" customFormat="1" ht="20.100000000000001" customHeight="1" x14ac:dyDescent="0.3">
      <c r="C88" s="612"/>
      <c r="D88" s="619"/>
      <c r="E88" s="1313" t="s">
        <v>701</v>
      </c>
      <c r="F88" s="1309">
        <f>'TNTTMA $'!J9</f>
        <v>120694</v>
      </c>
      <c r="G88" s="1310">
        <f>'TNTTMA $'!V21</f>
        <v>125267</v>
      </c>
      <c r="H88" s="1310">
        <f>ROUND(G88,-2)</f>
        <v>125300</v>
      </c>
      <c r="I88" s="1310">
        <f t="shared" si="27"/>
        <v>125300</v>
      </c>
      <c r="J88" s="1310">
        <f t="shared" si="28"/>
        <v>125300</v>
      </c>
      <c r="K88" s="1310">
        <f t="shared" si="29"/>
        <v>125300</v>
      </c>
      <c r="L88" s="1311"/>
      <c r="M88" s="1312">
        <f t="shared" si="19"/>
        <v>626467</v>
      </c>
      <c r="N88" s="615"/>
      <c r="O88" s="690"/>
      <c r="P88" s="690"/>
      <c r="Q88" s="690"/>
      <c r="R88" s="691"/>
    </row>
    <row r="89" spans="2:26" s="476" customFormat="1" ht="20.100000000000001" customHeight="1" x14ac:dyDescent="0.3">
      <c r="C89" s="612"/>
      <c r="D89" s="619"/>
      <c r="E89" s="1313" t="s">
        <v>733</v>
      </c>
      <c r="F89" s="1309">
        <f>SUM('TNTTMA $'!J11,'TNTTMA $'!J10,'TNTTMA $'!J12)</f>
        <v>183025</v>
      </c>
      <c r="G89" s="1310">
        <f>'TNTTMA $'!V22</f>
        <v>200092</v>
      </c>
      <c r="H89" s="1310">
        <f>ROUND(G89,-2)</f>
        <v>200100</v>
      </c>
      <c r="I89" s="1310">
        <f t="shared" si="27"/>
        <v>200100</v>
      </c>
      <c r="J89" s="1310">
        <f t="shared" si="28"/>
        <v>200100</v>
      </c>
      <c r="K89" s="1310">
        <f t="shared" si="29"/>
        <v>200100</v>
      </c>
      <c r="L89" s="1311"/>
      <c r="M89" s="1312">
        <f t="shared" si="19"/>
        <v>1000492</v>
      </c>
      <c r="N89" s="615"/>
      <c r="O89" s="690"/>
      <c r="P89" s="690"/>
      <c r="Q89" s="690"/>
      <c r="R89" s="691"/>
    </row>
    <row r="90" spans="2:26" s="476" customFormat="1" ht="20.100000000000001" customHeight="1" x14ac:dyDescent="0.3">
      <c r="C90" s="612"/>
      <c r="D90" s="619"/>
      <c r="E90" s="1314" t="s">
        <v>845</v>
      </c>
      <c r="F90" s="1309"/>
      <c r="G90" s="1310">
        <v>240000</v>
      </c>
      <c r="H90" s="1315" t="s">
        <v>570</v>
      </c>
      <c r="I90" s="1315" t="s">
        <v>570</v>
      </c>
      <c r="J90" s="1315" t="s">
        <v>570</v>
      </c>
      <c r="K90" s="1315" t="s">
        <v>570</v>
      </c>
      <c r="L90" s="1311"/>
      <c r="M90" s="1316"/>
      <c r="N90" s="615"/>
      <c r="O90" s="690"/>
      <c r="P90" s="690"/>
      <c r="Q90" s="690"/>
      <c r="R90" s="691"/>
    </row>
    <row r="91" spans="2:26" s="627" customFormat="1" ht="9" customHeight="1" x14ac:dyDescent="0.3">
      <c r="B91" s="632"/>
      <c r="C91" s="612"/>
      <c r="D91" s="619"/>
      <c r="E91" s="614"/>
      <c r="F91" s="1242"/>
      <c r="G91" s="689"/>
      <c r="H91" s="689"/>
      <c r="I91" s="689"/>
      <c r="J91" s="689"/>
      <c r="K91" s="689"/>
      <c r="L91" s="641"/>
      <c r="M91" s="641"/>
      <c r="N91" s="615"/>
      <c r="O91" s="690"/>
      <c r="P91" s="690"/>
      <c r="Q91" s="690"/>
      <c r="R91" s="691"/>
      <c r="S91" s="476"/>
      <c r="T91" s="476"/>
      <c r="U91" s="476"/>
      <c r="V91" s="476"/>
      <c r="W91" s="476"/>
      <c r="X91" s="476"/>
      <c r="Y91" s="476"/>
      <c r="Z91" s="476"/>
    </row>
    <row r="92" spans="2:26" s="630" customFormat="1" ht="20.100000000000001" customHeight="1" x14ac:dyDescent="0.3">
      <c r="B92" s="631"/>
      <c r="C92" s="612"/>
      <c r="D92" s="619"/>
      <c r="E92" s="1272" t="s">
        <v>828</v>
      </c>
      <c r="F92" s="1273">
        <f>SUM(F69:F73)</f>
        <v>803648</v>
      </c>
      <c r="G92" s="1274">
        <f>SUM(G68:G73)</f>
        <v>6060833</v>
      </c>
      <c r="H92" s="1274">
        <f>SUM(H68:H73)</f>
        <v>6280700</v>
      </c>
      <c r="I92" s="1274">
        <f>SUM(I68:I73)</f>
        <v>6509150</v>
      </c>
      <c r="J92" s="1274">
        <f>SUM(J68:J73)</f>
        <v>6746700</v>
      </c>
      <c r="K92" s="1274">
        <f>SUM(K68:K73)</f>
        <v>6993600</v>
      </c>
      <c r="L92" s="1273"/>
      <c r="M92" s="1278">
        <f>SUM(G92:K92)</f>
        <v>32590983</v>
      </c>
      <c r="N92" s="615"/>
      <c r="O92" s="690"/>
      <c r="P92" s="690"/>
      <c r="Q92" s="690"/>
      <c r="R92" s="691"/>
      <c r="S92" s="626"/>
      <c r="T92" s="626"/>
      <c r="U92" s="626"/>
      <c r="V92" s="626"/>
      <c r="W92" s="626"/>
      <c r="X92" s="476"/>
      <c r="Y92" s="476"/>
      <c r="Z92" s="476"/>
    </row>
    <row r="93" spans="2:26" s="630" customFormat="1" ht="20.100000000000001" customHeight="1" x14ac:dyDescent="0.3">
      <c r="B93" s="631"/>
      <c r="C93" s="612"/>
      <c r="D93" s="619"/>
      <c r="E93" s="1303" t="s">
        <v>829</v>
      </c>
      <c r="F93" s="1304">
        <f>SUM(F76:F89)</f>
        <v>2181770</v>
      </c>
      <c r="G93" s="1305">
        <f>SUM(G76:G90)</f>
        <v>2489315</v>
      </c>
      <c r="H93" s="1305">
        <f t="shared" ref="H93:K93" si="30">SUM(H76:H89)</f>
        <v>2301000</v>
      </c>
      <c r="I93" s="1305">
        <f t="shared" si="30"/>
        <v>2354700</v>
      </c>
      <c r="J93" s="1305">
        <f t="shared" si="30"/>
        <v>2410500</v>
      </c>
      <c r="K93" s="1305">
        <f t="shared" si="30"/>
        <v>2468500</v>
      </c>
      <c r="L93" s="1304"/>
      <c r="M93" s="1306">
        <f>SUM(G93:K93)</f>
        <v>12024015</v>
      </c>
      <c r="N93" s="615"/>
      <c r="O93" s="690"/>
      <c r="P93" s="690"/>
      <c r="Q93" s="690"/>
      <c r="R93" s="691"/>
      <c r="S93" s="626"/>
      <c r="T93" s="626"/>
      <c r="U93" s="626"/>
      <c r="V93" s="626"/>
      <c r="W93" s="626"/>
      <c r="X93" s="476"/>
      <c r="Y93" s="476"/>
      <c r="Z93" s="476"/>
    </row>
    <row r="94" spans="2:26" s="630" customFormat="1" ht="8.4" customHeight="1" x14ac:dyDescent="0.3">
      <c r="B94" s="631" t="s">
        <v>243</v>
      </c>
      <c r="C94" s="612"/>
      <c r="D94" s="619"/>
      <c r="E94" s="633"/>
      <c r="F94" s="1238"/>
      <c r="G94" s="672"/>
      <c r="H94" s="672"/>
      <c r="I94" s="672"/>
      <c r="J94" s="672"/>
      <c r="K94" s="672"/>
      <c r="L94" s="1238"/>
      <c r="M94" s="634"/>
      <c r="N94" s="615"/>
      <c r="O94" s="690"/>
      <c r="P94" s="690"/>
      <c r="Q94" s="690"/>
      <c r="R94" s="691"/>
      <c r="S94" s="626"/>
      <c r="T94" s="626"/>
      <c r="U94" s="626"/>
      <c r="V94" s="626"/>
      <c r="W94" s="626"/>
      <c r="X94" s="476"/>
      <c r="Y94" s="476"/>
      <c r="Z94" s="476"/>
    </row>
    <row r="95" spans="2:26" s="627" customFormat="1" ht="22.5" customHeight="1" x14ac:dyDescent="0.3">
      <c r="B95" s="628"/>
      <c r="C95" s="612"/>
      <c r="D95" s="613" t="s">
        <v>272</v>
      </c>
      <c r="E95" s="633"/>
      <c r="F95" s="1238"/>
      <c r="G95" s="672"/>
      <c r="H95" s="672"/>
      <c r="I95" s="672"/>
      <c r="J95" s="672"/>
      <c r="K95" s="672"/>
      <c r="L95" s="634"/>
      <c r="M95" s="634"/>
      <c r="N95" s="615"/>
      <c r="O95" s="635"/>
      <c r="P95" s="635"/>
      <c r="Q95" s="636"/>
      <c r="R95" s="637"/>
      <c r="S95" s="476"/>
      <c r="T95" s="476"/>
      <c r="U95" s="476"/>
      <c r="V95" s="476"/>
      <c r="W95" s="476"/>
      <c r="X95" s="476"/>
      <c r="Y95" s="476"/>
      <c r="Z95" s="476"/>
    </row>
    <row r="96" spans="2:26" s="627" customFormat="1" ht="20.100000000000001" customHeight="1" x14ac:dyDescent="0.3">
      <c r="B96" s="628"/>
      <c r="C96" s="612"/>
      <c r="D96" s="613"/>
      <c r="E96" s="1279" t="s">
        <v>830</v>
      </c>
      <c r="F96" s="1280"/>
      <c r="G96" s="1281">
        <f>G64+G92</f>
        <v>12518633</v>
      </c>
      <c r="H96" s="1281">
        <f>H64+H92</f>
        <v>12768800</v>
      </c>
      <c r="I96" s="1281">
        <f>I64+I92</f>
        <v>13027850</v>
      </c>
      <c r="J96" s="1281">
        <f>J64+J92</f>
        <v>13296300</v>
      </c>
      <c r="K96" s="1281">
        <f>K64+K92</f>
        <v>13574400</v>
      </c>
      <c r="L96" s="1282"/>
      <c r="M96" s="1283">
        <f>SUM(G96:K96)</f>
        <v>65185983</v>
      </c>
      <c r="N96" s="615"/>
      <c r="O96" s="635"/>
      <c r="P96" s="635"/>
      <c r="Q96" s="636"/>
      <c r="R96" s="637"/>
      <c r="S96" s="476"/>
      <c r="T96" s="476"/>
      <c r="U96" s="476"/>
      <c r="V96" s="476"/>
      <c r="W96" s="476"/>
      <c r="X96" s="476"/>
      <c r="Y96" s="476"/>
      <c r="Z96" s="476"/>
    </row>
    <row r="97" spans="2:26" s="627" customFormat="1" ht="20.100000000000001" customHeight="1" x14ac:dyDescent="0.3">
      <c r="B97" s="628"/>
      <c r="C97" s="612"/>
      <c r="D97" s="613"/>
      <c r="E97" s="1298" t="s">
        <v>831</v>
      </c>
      <c r="F97" s="1299"/>
      <c r="G97" s="1300">
        <f>G93</f>
        <v>2489315</v>
      </c>
      <c r="H97" s="1300">
        <f t="shared" ref="H97:K97" si="31">H93</f>
        <v>2301000</v>
      </c>
      <c r="I97" s="1300">
        <f t="shared" si="31"/>
        <v>2354700</v>
      </c>
      <c r="J97" s="1300">
        <f t="shared" si="31"/>
        <v>2410500</v>
      </c>
      <c r="K97" s="1300">
        <f t="shared" si="31"/>
        <v>2468500</v>
      </c>
      <c r="L97" s="1301"/>
      <c r="M97" s="1302">
        <f t="shared" ref="M97:M105" si="32">SUM(G97:K97)</f>
        <v>12024015</v>
      </c>
      <c r="N97" s="615"/>
      <c r="O97" s="635"/>
      <c r="P97" s="635"/>
      <c r="Q97" s="636"/>
      <c r="R97" s="637"/>
      <c r="S97" s="476"/>
      <c r="T97" s="476"/>
      <c r="U97" s="476"/>
      <c r="V97" s="476"/>
      <c r="W97" s="476"/>
      <c r="X97" s="476"/>
      <c r="Y97" s="476"/>
      <c r="Z97" s="476"/>
    </row>
    <row r="98" spans="2:26" s="627" customFormat="1" ht="20.100000000000001" customHeight="1" x14ac:dyDescent="0.3">
      <c r="B98" s="628"/>
      <c r="C98" s="612"/>
      <c r="D98" s="613"/>
      <c r="E98" s="1201" t="s">
        <v>832</v>
      </c>
      <c r="F98" s="693"/>
      <c r="G98" s="729">
        <f>SUM(G96:G97)</f>
        <v>15007948</v>
      </c>
      <c r="H98" s="729">
        <f t="shared" ref="H98:K98" si="33">SUM(H96:H97)</f>
        <v>15069800</v>
      </c>
      <c r="I98" s="729">
        <f t="shared" si="33"/>
        <v>15382550</v>
      </c>
      <c r="J98" s="729">
        <f t="shared" si="33"/>
        <v>15706800</v>
      </c>
      <c r="K98" s="729">
        <f t="shared" si="33"/>
        <v>16042900</v>
      </c>
      <c r="L98" s="800"/>
      <c r="M98" s="1151">
        <f t="shared" si="32"/>
        <v>77209998</v>
      </c>
      <c r="N98" s="615"/>
      <c r="O98" s="635"/>
      <c r="P98" s="635"/>
      <c r="Q98" s="636"/>
      <c r="R98" s="637"/>
      <c r="S98" s="476"/>
      <c r="T98" s="476"/>
      <c r="U98" s="476"/>
      <c r="V98" s="476"/>
      <c r="W98" s="476"/>
      <c r="X98" s="476"/>
      <c r="Y98" s="476"/>
      <c r="Z98" s="476"/>
    </row>
    <row r="99" spans="2:26" s="627" customFormat="1" ht="15" customHeight="1" x14ac:dyDescent="0.3">
      <c r="B99" s="628"/>
      <c r="C99" s="612"/>
      <c r="D99" s="613"/>
      <c r="E99" s="1148"/>
      <c r="F99" s="1238"/>
      <c r="G99" s="672"/>
      <c r="H99" s="672"/>
      <c r="I99" s="672"/>
      <c r="J99" s="672"/>
      <c r="K99" s="672"/>
      <c r="L99" s="634"/>
      <c r="M99" s="634"/>
      <c r="N99" s="615"/>
      <c r="O99" s="635"/>
      <c r="P99" s="635"/>
      <c r="Q99" s="636"/>
      <c r="R99" s="637"/>
      <c r="S99" s="476"/>
      <c r="T99" s="476"/>
      <c r="U99" s="476"/>
      <c r="V99" s="476"/>
      <c r="W99" s="476"/>
      <c r="X99" s="476"/>
      <c r="Y99" s="476"/>
      <c r="Z99" s="476"/>
    </row>
    <row r="100" spans="2:26" s="627" customFormat="1" ht="20.100000000000001" customHeight="1" x14ac:dyDescent="0.3">
      <c r="B100" s="628"/>
      <c r="C100" s="612"/>
      <c r="D100" s="613"/>
      <c r="E100" s="1284" t="s">
        <v>833</v>
      </c>
      <c r="F100" s="1280"/>
      <c r="G100" s="1281">
        <f>G21+G26</f>
        <v>9704348.056935681</v>
      </c>
      <c r="H100" s="1281">
        <f>H21+H26</f>
        <v>10092521.979213107</v>
      </c>
      <c r="I100" s="1281">
        <f>I21+I26</f>
        <v>10496222.858381633</v>
      </c>
      <c r="J100" s="1281">
        <f>J21+J26</f>
        <v>10992933.725510497</v>
      </c>
      <c r="K100" s="1281">
        <f>K21+K26</f>
        <v>11418559.716518758</v>
      </c>
      <c r="L100" s="1282"/>
      <c r="M100" s="1283">
        <f t="shared" si="32"/>
        <v>52704586.336559676</v>
      </c>
      <c r="N100" s="615"/>
      <c r="O100" s="635"/>
      <c r="P100" s="635"/>
      <c r="Q100" s="636"/>
      <c r="R100" s="637"/>
      <c r="S100" s="476"/>
      <c r="T100" s="476"/>
      <c r="U100" s="476"/>
      <c r="V100" s="476"/>
      <c r="W100" s="476"/>
      <c r="X100" s="476"/>
      <c r="Y100" s="476"/>
      <c r="Z100" s="476"/>
    </row>
    <row r="101" spans="2:26" s="627" customFormat="1" ht="20.100000000000001" customHeight="1" x14ac:dyDescent="0.3">
      <c r="B101" s="628"/>
      <c r="C101" s="612"/>
      <c r="D101" s="613"/>
      <c r="E101" s="1307" t="s">
        <v>834</v>
      </c>
      <c r="F101" s="1299"/>
      <c r="G101" s="1300">
        <f>G34</f>
        <v>2329986</v>
      </c>
      <c r="H101" s="1300">
        <f>H34</f>
        <v>2423185.44</v>
      </c>
      <c r="I101" s="1300">
        <f>I34</f>
        <v>2520112.8575999998</v>
      </c>
      <c r="J101" s="1300">
        <f>J34</f>
        <v>2620917.3719040002</v>
      </c>
      <c r="K101" s="1300">
        <f>K34</f>
        <v>2725754.0667801602</v>
      </c>
      <c r="L101" s="1301"/>
      <c r="M101" s="1302">
        <f t="shared" si="32"/>
        <v>12619955.736284159</v>
      </c>
      <c r="N101" s="615"/>
      <c r="O101" s="635"/>
      <c r="P101" s="635"/>
      <c r="Q101" s="636"/>
      <c r="R101" s="637"/>
      <c r="S101" s="476"/>
      <c r="T101" s="476"/>
      <c r="U101" s="476"/>
      <c r="V101" s="476"/>
      <c r="W101" s="476"/>
      <c r="X101" s="476"/>
      <c r="Y101" s="476"/>
      <c r="Z101" s="476"/>
    </row>
    <row r="102" spans="2:26" s="627" customFormat="1" ht="20.100000000000001" customHeight="1" x14ac:dyDescent="0.3">
      <c r="B102" s="628"/>
      <c r="C102" s="612"/>
      <c r="D102" s="613"/>
      <c r="E102" s="1196" t="s">
        <v>835</v>
      </c>
      <c r="F102" s="693"/>
      <c r="G102" s="729">
        <f>SUM(G100:G101)</f>
        <v>12034334.056935681</v>
      </c>
      <c r="H102" s="729">
        <f t="shared" ref="H102:K102" si="34">SUM(H100:H101)</f>
        <v>12515707.419213107</v>
      </c>
      <c r="I102" s="729">
        <f t="shared" si="34"/>
        <v>13016335.715981632</v>
      </c>
      <c r="J102" s="729">
        <f t="shared" si="34"/>
        <v>13613851.097414497</v>
      </c>
      <c r="K102" s="729">
        <f t="shared" si="34"/>
        <v>14144313.783298917</v>
      </c>
      <c r="L102" s="800"/>
      <c r="M102" s="1151">
        <f t="shared" si="32"/>
        <v>65324542.072843827</v>
      </c>
      <c r="N102" s="615"/>
      <c r="O102" s="635"/>
      <c r="P102" s="635"/>
      <c r="Q102" s="636"/>
      <c r="R102" s="637"/>
      <c r="S102" s="476"/>
      <c r="T102" s="476"/>
      <c r="U102" s="476"/>
      <c r="V102" s="476"/>
      <c r="W102" s="476"/>
      <c r="X102" s="476"/>
      <c r="Y102" s="476"/>
      <c r="Z102" s="476"/>
    </row>
    <row r="103" spans="2:26" s="627" customFormat="1" ht="20.100000000000001" customHeight="1" x14ac:dyDescent="0.3">
      <c r="B103" s="628"/>
      <c r="C103" s="612"/>
      <c r="D103" s="613"/>
      <c r="E103" s="1284" t="s">
        <v>836</v>
      </c>
      <c r="F103" s="1280"/>
      <c r="G103" s="1281">
        <f>G21+G26+G36</f>
        <v>9704348.056935681</v>
      </c>
      <c r="H103" s="1281">
        <f>H21+H26+H36</f>
        <v>11136921.979213107</v>
      </c>
      <c r="I103" s="1281">
        <f>I21+I26+I36</f>
        <v>11582422.858381633</v>
      </c>
      <c r="J103" s="1281">
        <f>J21+J26+J36</f>
        <v>12122533.725510497</v>
      </c>
      <c r="K103" s="1281">
        <f>K21+K26+K36</f>
        <v>12821359.716518758</v>
      </c>
      <c r="L103" s="1282"/>
      <c r="M103" s="1283">
        <f t="shared" si="32"/>
        <v>57367586.336559676</v>
      </c>
      <c r="N103" s="615"/>
      <c r="O103" s="635"/>
      <c r="P103" s="635"/>
      <c r="Q103" s="636"/>
      <c r="R103" s="637"/>
      <c r="S103" s="476"/>
      <c r="T103" s="476"/>
      <c r="U103" s="476"/>
      <c r="V103" s="476"/>
      <c r="W103" s="476"/>
      <c r="X103" s="476"/>
      <c r="Y103" s="476"/>
      <c r="Z103" s="476"/>
    </row>
    <row r="104" spans="2:26" s="627" customFormat="1" ht="20.100000000000001" customHeight="1" x14ac:dyDescent="0.3">
      <c r="B104" s="628"/>
      <c r="C104" s="612"/>
      <c r="D104" s="613"/>
      <c r="E104" s="1307" t="s">
        <v>837</v>
      </c>
      <c r="F104" s="1299"/>
      <c r="G104" s="1300">
        <f>G34+G37</f>
        <v>2354986</v>
      </c>
      <c r="H104" s="1300">
        <f>H34+H37</f>
        <v>2449185.44</v>
      </c>
      <c r="I104" s="1300">
        <f>I34+I37</f>
        <v>2520112.8575999998</v>
      </c>
      <c r="J104" s="1300">
        <f>J34+J37</f>
        <v>2620917.3719040002</v>
      </c>
      <c r="K104" s="1300">
        <f>K34+K37</f>
        <v>2725754.0667801602</v>
      </c>
      <c r="L104" s="1301"/>
      <c r="M104" s="1302">
        <f t="shared" si="32"/>
        <v>12670955.736284159</v>
      </c>
      <c r="N104" s="615"/>
      <c r="O104" s="635"/>
      <c r="P104" s="635"/>
      <c r="Q104" s="636"/>
      <c r="R104" s="637"/>
      <c r="S104" s="476"/>
      <c r="T104" s="476"/>
      <c r="U104" s="476"/>
      <c r="V104" s="476"/>
      <c r="W104" s="476"/>
      <c r="X104" s="476"/>
      <c r="Y104" s="476"/>
      <c r="Z104" s="476"/>
    </row>
    <row r="105" spans="2:26" s="476" customFormat="1" ht="20.100000000000001" customHeight="1" x14ac:dyDescent="0.3">
      <c r="B105" s="627"/>
      <c r="C105" s="612"/>
      <c r="D105" s="613"/>
      <c r="E105" s="1196" t="s">
        <v>838</v>
      </c>
      <c r="F105" s="693"/>
      <c r="G105" s="729">
        <f>SUM(G103:G104)</f>
        <v>12059334.056935681</v>
      </c>
      <c r="H105" s="729">
        <f t="shared" ref="H105:K105" si="35">SUM(H103:H104)</f>
        <v>13586107.419213107</v>
      </c>
      <c r="I105" s="729">
        <f t="shared" si="35"/>
        <v>14102535.715981632</v>
      </c>
      <c r="J105" s="729">
        <f t="shared" si="35"/>
        <v>14743451.097414497</v>
      </c>
      <c r="K105" s="729">
        <f t="shared" si="35"/>
        <v>15547113.783298917</v>
      </c>
      <c r="L105" s="800"/>
      <c r="M105" s="1151">
        <f t="shared" si="32"/>
        <v>70038542.07284382</v>
      </c>
      <c r="N105" s="615"/>
      <c r="O105" s="638"/>
      <c r="P105" s="638"/>
      <c r="Q105" s="639"/>
      <c r="R105" s="640"/>
      <c r="S105" s="627"/>
      <c r="T105" s="627"/>
      <c r="U105" s="627"/>
      <c r="V105" s="627"/>
      <c r="W105" s="627"/>
      <c r="X105" s="627"/>
      <c r="Y105" s="627"/>
      <c r="Z105" s="627"/>
    </row>
    <row r="106" spans="2:26" s="476" customFormat="1" ht="15" customHeight="1" x14ac:dyDescent="0.3">
      <c r="B106" s="627"/>
      <c r="C106" s="612"/>
      <c r="D106" s="613"/>
      <c r="E106" s="614"/>
      <c r="F106" s="1238"/>
      <c r="G106" s="672"/>
      <c r="H106" s="672"/>
      <c r="I106" s="672"/>
      <c r="J106" s="672"/>
      <c r="K106" s="672"/>
      <c r="L106" s="634"/>
      <c r="M106" s="634"/>
      <c r="N106" s="615"/>
      <c r="O106" s="635"/>
      <c r="P106" s="635"/>
      <c r="Q106" s="636"/>
      <c r="R106" s="637"/>
      <c r="S106" s="627"/>
      <c r="T106" s="627"/>
      <c r="U106" s="627"/>
      <c r="V106" s="627"/>
      <c r="W106" s="627"/>
      <c r="X106" s="627"/>
      <c r="Y106" s="627"/>
      <c r="Z106" s="627"/>
    </row>
    <row r="107" spans="2:26" s="476" customFormat="1" ht="20.100000000000001" customHeight="1" x14ac:dyDescent="0.3">
      <c r="B107" s="627"/>
      <c r="C107" s="612"/>
      <c r="D107" s="613"/>
      <c r="E107" s="1285" t="s">
        <v>839</v>
      </c>
      <c r="F107" s="1286"/>
      <c r="G107" s="1287">
        <f>G96-G100</f>
        <v>2814284.943064319</v>
      </c>
      <c r="H107" s="1287">
        <f t="shared" ref="H107:K107" si="36">H96-H100</f>
        <v>2676278.0207868926</v>
      </c>
      <c r="I107" s="1287">
        <f t="shared" si="36"/>
        <v>2531627.1416183673</v>
      </c>
      <c r="J107" s="1287">
        <f t="shared" si="36"/>
        <v>2303366.2744895034</v>
      </c>
      <c r="K107" s="1287">
        <f t="shared" si="36"/>
        <v>2155840.2834812421</v>
      </c>
      <c r="L107" s="1287"/>
      <c r="M107" s="1288">
        <f>SUM(G107:K107)</f>
        <v>12481396.663440324</v>
      </c>
      <c r="N107" s="615"/>
      <c r="O107" s="635"/>
      <c r="P107" s="635"/>
      <c r="Q107" s="636"/>
      <c r="R107" s="637"/>
      <c r="S107" s="627"/>
      <c r="T107" s="627"/>
      <c r="U107" s="627"/>
      <c r="V107" s="627"/>
      <c r="W107" s="627"/>
    </row>
    <row r="108" spans="2:26" s="476" customFormat="1" ht="20.100000000000001" customHeight="1" x14ac:dyDescent="0.3">
      <c r="B108" s="627"/>
      <c r="C108" s="612"/>
      <c r="D108" s="613"/>
      <c r="E108" s="1289" t="s">
        <v>840</v>
      </c>
      <c r="F108" s="1290"/>
      <c r="G108" s="1291">
        <f>G96-G103</f>
        <v>2814284.943064319</v>
      </c>
      <c r="H108" s="1291">
        <f t="shared" ref="H108:K108" si="37">H96-H103</f>
        <v>1631878.0207868926</v>
      </c>
      <c r="I108" s="1291">
        <f t="shared" si="37"/>
        <v>1445427.1416183673</v>
      </c>
      <c r="J108" s="1291">
        <f t="shared" si="37"/>
        <v>1173766.2744895034</v>
      </c>
      <c r="K108" s="1291">
        <f t="shared" si="37"/>
        <v>753040.28348124214</v>
      </c>
      <c r="L108" s="1291"/>
      <c r="M108" s="1292">
        <f t="shared" ref="M108:M112" si="38">SUM(G108:K108)</f>
        <v>7818396.6634403244</v>
      </c>
      <c r="N108" s="615"/>
      <c r="O108" s="635"/>
      <c r="P108" s="635"/>
      <c r="Q108" s="636"/>
      <c r="R108" s="637"/>
      <c r="S108" s="627"/>
      <c r="T108" s="627"/>
      <c r="U108" s="627"/>
      <c r="V108" s="627"/>
      <c r="W108" s="627"/>
    </row>
    <row r="109" spans="2:26" s="476" customFormat="1" ht="20.100000000000001" customHeight="1" x14ac:dyDescent="0.3">
      <c r="B109" s="627"/>
      <c r="C109" s="612"/>
      <c r="D109" s="613"/>
      <c r="E109" s="1293" t="s">
        <v>841</v>
      </c>
      <c r="F109" s="1294"/>
      <c r="G109" s="1295">
        <f>G97-G101</f>
        <v>159329</v>
      </c>
      <c r="H109" s="1295">
        <f t="shared" ref="H109:K109" si="39">H97-H101</f>
        <v>-122185.43999999994</v>
      </c>
      <c r="I109" s="1295">
        <f t="shared" si="39"/>
        <v>-165412.85759999976</v>
      </c>
      <c r="J109" s="1295">
        <f t="shared" si="39"/>
        <v>-210417.37190400017</v>
      </c>
      <c r="K109" s="1295">
        <f t="shared" si="39"/>
        <v>-257254.06678016018</v>
      </c>
      <c r="L109" s="1295"/>
      <c r="M109" s="1296">
        <f t="shared" si="38"/>
        <v>-595940.73628416006</v>
      </c>
      <c r="N109" s="615"/>
      <c r="O109" s="635"/>
      <c r="P109" s="635"/>
      <c r="Q109" s="636"/>
      <c r="R109" s="637"/>
      <c r="S109" s="627"/>
      <c r="T109" s="627"/>
      <c r="U109" s="627"/>
      <c r="V109" s="627"/>
      <c r="W109" s="627"/>
    </row>
    <row r="110" spans="2:26" ht="20.100000000000001" customHeight="1" x14ac:dyDescent="0.3">
      <c r="B110" s="627"/>
      <c r="C110" s="612"/>
      <c r="D110" s="613"/>
      <c r="E110" s="1293" t="s">
        <v>842</v>
      </c>
      <c r="F110" s="1297"/>
      <c r="G110" s="1295">
        <f>G97-G104</f>
        <v>134329</v>
      </c>
      <c r="H110" s="1295">
        <f t="shared" ref="H110:K110" si="40">H97-H104</f>
        <v>-148185.43999999994</v>
      </c>
      <c r="I110" s="1295">
        <f t="shared" si="40"/>
        <v>-165412.85759999976</v>
      </c>
      <c r="J110" s="1295">
        <f t="shared" si="40"/>
        <v>-210417.37190400017</v>
      </c>
      <c r="K110" s="1295">
        <f t="shared" si="40"/>
        <v>-257254.06678016018</v>
      </c>
      <c r="L110" s="1295"/>
      <c r="M110" s="1296">
        <f t="shared" si="38"/>
        <v>-646940.73628416006</v>
      </c>
      <c r="N110" s="615"/>
      <c r="O110" s="635"/>
      <c r="P110" s="635"/>
      <c r="Q110" s="636"/>
      <c r="R110" s="637"/>
      <c r="S110" s="476"/>
      <c r="T110" s="476"/>
      <c r="U110" s="476"/>
      <c r="V110" s="476"/>
      <c r="W110" s="476"/>
      <c r="X110" s="476"/>
      <c r="Y110" s="476"/>
      <c r="Z110" s="476"/>
    </row>
    <row r="111" spans="2:26" ht="20.100000000000001" customHeight="1" x14ac:dyDescent="0.3">
      <c r="B111" s="627"/>
      <c r="C111" s="612"/>
      <c r="D111" s="613"/>
      <c r="E111" s="1239" t="s">
        <v>843</v>
      </c>
      <c r="F111" s="1198"/>
      <c r="G111" s="1221">
        <f>G98-G102</f>
        <v>2973613.943064319</v>
      </c>
      <c r="H111" s="1221">
        <f t="shared" ref="H111:K111" si="41">H98-H102</f>
        <v>2554092.5807868931</v>
      </c>
      <c r="I111" s="1221">
        <f t="shared" si="41"/>
        <v>2366214.2840183675</v>
      </c>
      <c r="J111" s="1221">
        <f t="shared" si="41"/>
        <v>2092948.9025855027</v>
      </c>
      <c r="K111" s="1221">
        <f t="shared" si="41"/>
        <v>1898586.2167010829</v>
      </c>
      <c r="L111" s="1221"/>
      <c r="M111" s="1222">
        <f>SUM(G111:K111)</f>
        <v>11885455.927156165</v>
      </c>
      <c r="N111" s="615"/>
      <c r="O111" s="635"/>
      <c r="P111" s="635"/>
      <c r="Q111" s="636"/>
      <c r="R111" s="637"/>
      <c r="S111" s="476"/>
      <c r="T111" s="476"/>
      <c r="U111" s="476"/>
      <c r="V111" s="476"/>
      <c r="W111" s="476"/>
      <c r="X111" s="476"/>
      <c r="Y111" s="476"/>
      <c r="Z111" s="476"/>
    </row>
    <row r="112" spans="2:26" s="94" customFormat="1" ht="20.100000000000001" customHeight="1" x14ac:dyDescent="0.3">
      <c r="B112" s="627"/>
      <c r="C112" s="612"/>
      <c r="D112" s="619"/>
      <c r="E112" s="1203" t="s">
        <v>844</v>
      </c>
      <c r="F112" s="1241"/>
      <c r="G112" s="1223">
        <f>G98-G105</f>
        <v>2948613.943064319</v>
      </c>
      <c r="H112" s="1223">
        <f t="shared" ref="H112:K112" si="42">H98-H105</f>
        <v>1483692.5807868931</v>
      </c>
      <c r="I112" s="1223">
        <f t="shared" si="42"/>
        <v>1280014.2840183675</v>
      </c>
      <c r="J112" s="1223">
        <f t="shared" si="42"/>
        <v>963348.90258550271</v>
      </c>
      <c r="K112" s="1223">
        <f t="shared" si="42"/>
        <v>495786.21670108289</v>
      </c>
      <c r="L112" s="1223"/>
      <c r="M112" s="1224">
        <f t="shared" si="38"/>
        <v>7171455.9271561652</v>
      </c>
      <c r="N112" s="615"/>
      <c r="O112" s="616"/>
      <c r="P112" s="635"/>
      <c r="Q112" s="636"/>
      <c r="R112" s="637"/>
      <c r="S112" s="476"/>
      <c r="T112" s="476"/>
      <c r="U112" s="476"/>
      <c r="V112" s="476"/>
      <c r="W112" s="476"/>
      <c r="X112" s="476"/>
      <c r="Y112" s="476"/>
      <c r="Z112" s="476"/>
    </row>
    <row r="113" spans="2:26" s="94" customFormat="1" ht="7.5" customHeight="1" x14ac:dyDescent="0.3">
      <c r="B113" s="627"/>
      <c r="C113" s="612"/>
      <c r="D113" s="619"/>
      <c r="E113" s="1198"/>
      <c r="F113" s="1240"/>
      <c r="G113" s="868"/>
      <c r="H113" s="868"/>
      <c r="I113" s="868"/>
      <c r="J113" s="868"/>
      <c r="K113" s="868"/>
      <c r="L113" s="868"/>
      <c r="M113" s="868"/>
      <c r="N113" s="615"/>
      <c r="O113" s="616"/>
      <c r="P113" s="635"/>
      <c r="Q113" s="636"/>
      <c r="R113" s="637"/>
      <c r="S113" s="476"/>
      <c r="T113" s="476"/>
      <c r="U113" s="476"/>
      <c r="V113" s="476"/>
      <c r="W113" s="476"/>
      <c r="X113" s="476"/>
      <c r="Y113" s="476"/>
      <c r="Z113" s="476"/>
    </row>
    <row r="114" spans="2:26" s="94" customFormat="1" ht="7.5" customHeight="1" thickBot="1" x14ac:dyDescent="0.35">
      <c r="B114" s="627"/>
      <c r="C114" s="642"/>
      <c r="D114" s="643"/>
      <c r="E114" s="644"/>
      <c r="F114" s="645"/>
      <c r="G114" s="645"/>
      <c r="H114" s="645"/>
      <c r="I114" s="645"/>
      <c r="J114" s="645"/>
      <c r="K114" s="646"/>
      <c r="L114" s="646"/>
      <c r="M114" s="1245"/>
      <c r="N114" s="1246"/>
      <c r="O114" s="647"/>
      <c r="P114" s="647"/>
      <c r="Q114" s="648"/>
      <c r="R114" s="649"/>
      <c r="S114" s="476"/>
      <c r="T114" s="476"/>
      <c r="U114" s="476"/>
      <c r="V114" s="476"/>
      <c r="W114" s="476"/>
      <c r="X114"/>
      <c r="Y114"/>
      <c r="Z114"/>
    </row>
    <row r="115" spans="2:26" s="94" customFormat="1" ht="3.75" customHeight="1" x14ac:dyDescent="0.3">
      <c r="B115" s="627"/>
      <c r="C115" s="1247"/>
      <c r="D115" s="1248"/>
      <c r="E115" s="1249"/>
      <c r="F115" s="1250"/>
      <c r="G115" s="1250"/>
      <c r="H115" s="1250"/>
      <c r="I115" s="1250"/>
      <c r="J115" s="1250"/>
      <c r="K115" s="1251"/>
      <c r="L115" s="1251"/>
      <c r="M115" s="1251"/>
      <c r="N115" s="1252"/>
      <c r="O115" s="485"/>
      <c r="P115" s="485"/>
      <c r="Q115" s="486"/>
      <c r="R115" s="611"/>
      <c r="S115" s="476"/>
      <c r="T115" s="476"/>
      <c r="U115" s="476"/>
      <c r="V115" s="476"/>
      <c r="W115" s="476"/>
      <c r="X115"/>
      <c r="Y115"/>
      <c r="Z115"/>
    </row>
    <row r="116" spans="2:26" s="94" customFormat="1" ht="14.7" customHeight="1" x14ac:dyDescent="0.3">
      <c r="B116" s="627"/>
      <c r="C116" s="608"/>
      <c r="D116" s="517"/>
      <c r="E116" s="651" t="s">
        <v>355</v>
      </c>
      <c r="F116" s="650"/>
      <c r="G116" s="650"/>
      <c r="H116" s="650"/>
      <c r="I116" s="650"/>
      <c r="J116" s="650"/>
      <c r="K116" s="650"/>
      <c r="L116" s="652"/>
      <c r="M116" s="650"/>
      <c r="N116" s="1253"/>
      <c r="O116" s="485"/>
      <c r="P116" s="486"/>
      <c r="Q116" s="611"/>
      <c r="R116" s="627"/>
      <c r="S116" s="627"/>
      <c r="T116" s="627"/>
      <c r="U116" s="627"/>
      <c r="V116" s="627"/>
    </row>
    <row r="117" spans="2:26" s="94" customFormat="1" ht="14.25" customHeight="1" x14ac:dyDescent="0.3">
      <c r="B117" s="627"/>
      <c r="C117" s="608"/>
      <c r="D117" s="517"/>
      <c r="E117" s="651" t="s">
        <v>356</v>
      </c>
      <c r="F117" s="650"/>
      <c r="G117" s="650"/>
      <c r="H117" s="650"/>
      <c r="I117" s="650"/>
      <c r="J117" s="650"/>
      <c r="K117" s="650"/>
      <c r="L117" s="652"/>
      <c r="M117" s="650"/>
      <c r="N117" s="1253"/>
      <c r="O117" s="485"/>
      <c r="P117" s="486"/>
      <c r="Q117" s="611"/>
      <c r="R117" s="627"/>
      <c r="S117" s="627"/>
      <c r="T117" s="627"/>
      <c r="U117" s="627"/>
      <c r="V117" s="627"/>
    </row>
    <row r="118" spans="2:26" s="94" customFormat="1" ht="14.7" customHeight="1" x14ac:dyDescent="0.3">
      <c r="B118" s="627"/>
      <c r="C118" s="608"/>
      <c r="D118" s="517"/>
      <c r="E118" s="651" t="s">
        <v>357</v>
      </c>
      <c r="F118" s="650"/>
      <c r="G118" s="650"/>
      <c r="H118" s="650"/>
      <c r="I118" s="650"/>
      <c r="J118" s="650"/>
      <c r="K118" s="650"/>
      <c r="L118" s="652"/>
      <c r="M118" s="650"/>
      <c r="N118" s="1253"/>
      <c r="O118" s="485"/>
      <c r="P118" s="486"/>
      <c r="Q118" s="611"/>
      <c r="R118" s="627"/>
      <c r="S118" s="627"/>
      <c r="T118" s="627"/>
      <c r="U118" s="627"/>
      <c r="V118" s="627"/>
    </row>
    <row r="119" spans="2:26" s="94" customFormat="1" x14ac:dyDescent="0.3">
      <c r="B119" s="627"/>
      <c r="C119" s="608"/>
      <c r="D119" s="517"/>
      <c r="E119" s="651" t="s">
        <v>315</v>
      </c>
      <c r="F119" s="650"/>
      <c r="G119" s="650"/>
      <c r="H119" s="650"/>
      <c r="I119" s="650"/>
      <c r="J119" s="650"/>
      <c r="K119" s="650"/>
      <c r="L119" s="652"/>
      <c r="M119" s="650"/>
      <c r="N119" s="1253"/>
      <c r="O119" s="485"/>
      <c r="P119" s="486"/>
      <c r="Q119" s="611"/>
      <c r="R119" s="627"/>
      <c r="S119" s="627"/>
      <c r="T119" s="627"/>
      <c r="U119" s="627"/>
      <c r="V119" s="627"/>
    </row>
    <row r="120" spans="2:26" s="94" customFormat="1" ht="17.25" customHeight="1" x14ac:dyDescent="0.3">
      <c r="B120" s="627"/>
      <c r="C120" s="608"/>
      <c r="D120" s="517"/>
      <c r="E120" s="651" t="s">
        <v>358</v>
      </c>
      <c r="F120" s="650"/>
      <c r="G120" s="650"/>
      <c r="H120" s="650"/>
      <c r="I120" s="650"/>
      <c r="J120" s="650"/>
      <c r="K120" s="650"/>
      <c r="L120" s="652"/>
      <c r="M120" s="650"/>
      <c r="N120" s="1253"/>
      <c r="O120" s="485"/>
      <c r="P120" s="486"/>
      <c r="Q120" s="611"/>
      <c r="R120" s="627"/>
      <c r="S120" s="671"/>
      <c r="T120" s="671"/>
      <c r="U120" s="671"/>
      <c r="V120" s="671"/>
      <c r="W120" s="627"/>
      <c r="X120" s="627"/>
      <c r="Y120" s="627"/>
      <c r="Z120" s="627"/>
    </row>
    <row r="121" spans="2:26" ht="3" customHeight="1" thickBot="1" x14ac:dyDescent="0.35">
      <c r="B121" s="94"/>
      <c r="C121" s="642"/>
      <c r="D121" s="643"/>
      <c r="E121" s="654"/>
      <c r="F121" s="643"/>
      <c r="G121" s="643"/>
      <c r="H121" s="643"/>
      <c r="I121" s="643"/>
      <c r="J121" s="643"/>
      <c r="K121" s="655"/>
      <c r="L121" s="655"/>
      <c r="M121" s="656"/>
      <c r="N121" s="657"/>
      <c r="O121" s="647"/>
      <c r="P121" s="647"/>
      <c r="Q121" s="648"/>
      <c r="R121" s="649"/>
      <c r="S121" s="476"/>
      <c r="T121" s="476"/>
      <c r="U121" s="476"/>
      <c r="V121" s="476"/>
      <c r="W121" s="476"/>
    </row>
    <row r="125" spans="2:26" ht="15" thickBot="1" x14ac:dyDescent="0.35">
      <c r="Q125" s="481" t="s">
        <v>243</v>
      </c>
    </row>
    <row r="126" spans="2:26" ht="54" customHeight="1" x14ac:dyDescent="0.3">
      <c r="D126" s="1038" t="s">
        <v>857</v>
      </c>
      <c r="E126" s="1339" t="s">
        <v>858</v>
      </c>
      <c r="F126" s="1036"/>
      <c r="G126" s="1036"/>
      <c r="H126" s="1036"/>
      <c r="I126" s="1036"/>
      <c r="J126" s="1036"/>
      <c r="K126" s="1036"/>
      <c r="L126" s="1037"/>
    </row>
    <row r="127" spans="2:26" ht="17.25" customHeight="1" x14ac:dyDescent="0.3">
      <c r="D127" s="1039"/>
      <c r="E127" s="1040"/>
      <c r="F127" s="504" t="s">
        <v>558</v>
      </c>
      <c r="G127" s="505" t="s">
        <v>552</v>
      </c>
      <c r="H127" s="505" t="s">
        <v>553</v>
      </c>
      <c r="I127" s="505" t="s">
        <v>554</v>
      </c>
      <c r="J127" s="505" t="s">
        <v>555</v>
      </c>
      <c r="K127" s="505" t="s">
        <v>556</v>
      </c>
      <c r="L127" s="1041"/>
      <c r="M127" s="1030" t="s">
        <v>549</v>
      </c>
    </row>
    <row r="128" spans="2:26" ht="10.5" customHeight="1" x14ac:dyDescent="0.3">
      <c r="D128" s="804"/>
      <c r="E128" s="94"/>
      <c r="F128" s="485"/>
      <c r="G128" s="94"/>
      <c r="H128" s="94"/>
      <c r="I128" s="94"/>
      <c r="J128" s="94"/>
      <c r="K128" s="94"/>
      <c r="L128" s="21"/>
    </row>
    <row r="129" spans="2:18" x14ac:dyDescent="0.3">
      <c r="D129" s="804"/>
      <c r="E129" s="92" t="s">
        <v>803</v>
      </c>
      <c r="F129" s="485"/>
      <c r="G129" s="1031">
        <f>G100</f>
        <v>9704348.056935681</v>
      </c>
      <c r="H129" s="1031">
        <f t="shared" ref="H129:K129" si="43">H100</f>
        <v>10092521.979213107</v>
      </c>
      <c r="I129" s="1031">
        <f t="shared" si="43"/>
        <v>10496222.858381633</v>
      </c>
      <c r="J129" s="1031">
        <f t="shared" si="43"/>
        <v>10992933.725510497</v>
      </c>
      <c r="K129" s="1031">
        <f t="shared" si="43"/>
        <v>11418559.716518758</v>
      </c>
      <c r="L129" s="21"/>
    </row>
    <row r="130" spans="2:18" x14ac:dyDescent="0.3">
      <c r="D130" s="804"/>
      <c r="E130" s="92" t="s">
        <v>804</v>
      </c>
      <c r="F130" s="1044"/>
      <c r="G130" s="1031">
        <f>G103</f>
        <v>9704348.056935681</v>
      </c>
      <c r="H130" s="1031">
        <f t="shared" ref="H130:J130" si="44">H103</f>
        <v>11136921.979213107</v>
      </c>
      <c r="I130" s="1031">
        <f t="shared" si="44"/>
        <v>11582422.858381633</v>
      </c>
      <c r="J130" s="1031">
        <f t="shared" si="44"/>
        <v>12122533.725510497</v>
      </c>
      <c r="K130" s="1031">
        <f>K103</f>
        <v>12821359.716518758</v>
      </c>
      <c r="L130" s="21"/>
    </row>
    <row r="131" spans="2:18" s="1076" customFormat="1" ht="9" customHeight="1" x14ac:dyDescent="0.3">
      <c r="B131"/>
      <c r="D131" s="1121"/>
      <c r="E131" s="1122"/>
      <c r="F131" s="1127"/>
      <c r="G131" s="1123"/>
      <c r="H131" s="1123"/>
      <c r="I131" s="1123"/>
      <c r="J131" s="1123"/>
      <c r="K131" s="1123"/>
      <c r="L131" s="1124"/>
      <c r="O131" s="1125"/>
      <c r="P131" s="1125"/>
      <c r="Q131" s="1126"/>
      <c r="R131" s="1126"/>
    </row>
    <row r="132" spans="2:18" x14ac:dyDescent="0.3">
      <c r="D132" s="804"/>
      <c r="E132" s="92" t="s">
        <v>548</v>
      </c>
      <c r="F132" s="1044"/>
      <c r="G132" s="1031">
        <f>G96</f>
        <v>12518633</v>
      </c>
      <c r="H132" s="1031">
        <f t="shared" ref="H132:K132" si="45">H96</f>
        <v>12768800</v>
      </c>
      <c r="I132" s="1031">
        <f t="shared" si="45"/>
        <v>13027850</v>
      </c>
      <c r="J132" s="1031">
        <f t="shared" si="45"/>
        <v>13296300</v>
      </c>
      <c r="K132" s="1031">
        <f t="shared" si="45"/>
        <v>13574400</v>
      </c>
      <c r="L132" s="1032"/>
    </row>
    <row r="133" spans="2:18" x14ac:dyDescent="0.3">
      <c r="D133" s="804"/>
      <c r="E133" s="94" t="s">
        <v>686</v>
      </c>
      <c r="F133" s="1128"/>
      <c r="G133" s="1034">
        <f>G64</f>
        <v>6457800</v>
      </c>
      <c r="H133" s="1034">
        <f>H64</f>
        <v>6488100</v>
      </c>
      <c r="I133" s="1034">
        <f>I64</f>
        <v>6518700</v>
      </c>
      <c r="J133" s="1034">
        <f>J64</f>
        <v>6549600</v>
      </c>
      <c r="K133" s="1034">
        <f>K64</f>
        <v>6580800</v>
      </c>
      <c r="L133" s="21"/>
      <c r="M133" s="1033">
        <f>G133/G$132</f>
        <v>0.51585504583447728</v>
      </c>
    </row>
    <row r="134" spans="2:18" x14ac:dyDescent="0.3">
      <c r="D134" s="804"/>
      <c r="E134" s="94" t="s">
        <v>687</v>
      </c>
      <c r="F134" s="1129"/>
      <c r="G134" s="1034">
        <v>0</v>
      </c>
      <c r="H134" s="1034">
        <v>0</v>
      </c>
      <c r="I134" s="1034">
        <v>0</v>
      </c>
      <c r="J134" s="1034">
        <v>0</v>
      </c>
      <c r="K134" s="1034">
        <v>0</v>
      </c>
      <c r="L134" s="21"/>
      <c r="M134" s="1033">
        <f>G134/G$155</f>
        <v>0</v>
      </c>
    </row>
    <row r="135" spans="2:18" x14ac:dyDescent="0.3">
      <c r="D135" s="804"/>
      <c r="E135" s="94" t="s">
        <v>748</v>
      </c>
      <c r="F135" s="1128"/>
      <c r="G135" s="1034">
        <f>SUM(G92)</f>
        <v>6060833</v>
      </c>
      <c r="H135" s="1034">
        <f>SUM(H92)</f>
        <v>6280700</v>
      </c>
      <c r="I135" s="1034">
        <f>SUM(I92)</f>
        <v>6509150</v>
      </c>
      <c r="J135" s="1034">
        <f>SUM(J92)</f>
        <v>6746700</v>
      </c>
      <c r="K135" s="1034">
        <f>SUM(K92)</f>
        <v>6993600</v>
      </c>
      <c r="L135" s="21"/>
      <c r="M135" s="1033">
        <f>G135/G$132</f>
        <v>0.48414495416552272</v>
      </c>
    </row>
    <row r="136" spans="2:18" x14ac:dyDescent="0.3">
      <c r="D136" s="804"/>
      <c r="E136" s="94" t="s">
        <v>543</v>
      </c>
      <c r="F136" s="1128"/>
      <c r="G136" s="1034">
        <v>0</v>
      </c>
      <c r="H136" s="1034">
        <v>0</v>
      </c>
      <c r="I136" s="1034">
        <v>0</v>
      </c>
      <c r="J136" s="1034">
        <v>0</v>
      </c>
      <c r="K136" s="1034">
        <v>0</v>
      </c>
      <c r="L136" s="21"/>
      <c r="M136" s="1033">
        <f t="shared" ref="M136:M138" si="46">G136/G$132</f>
        <v>0</v>
      </c>
    </row>
    <row r="137" spans="2:18" x14ac:dyDescent="0.3">
      <c r="D137" s="804"/>
      <c r="E137" s="94" t="s">
        <v>547</v>
      </c>
      <c r="F137" s="1128"/>
      <c r="G137" s="1034">
        <v>0</v>
      </c>
      <c r="H137" s="1034">
        <v>0</v>
      </c>
      <c r="I137" s="1034">
        <v>0</v>
      </c>
      <c r="J137" s="1034">
        <v>0</v>
      </c>
      <c r="K137" s="1034">
        <v>0</v>
      </c>
      <c r="L137" s="21"/>
      <c r="M137" s="1033">
        <f t="shared" si="46"/>
        <v>0</v>
      </c>
    </row>
    <row r="138" spans="2:18" x14ac:dyDescent="0.3">
      <c r="D138" s="804"/>
      <c r="E138" s="94" t="s">
        <v>862</v>
      </c>
      <c r="F138" s="1128"/>
      <c r="G138" s="1034">
        <v>0</v>
      </c>
      <c r="H138" s="1034">
        <v>0</v>
      </c>
      <c r="I138" s="1034">
        <v>0</v>
      </c>
      <c r="J138" s="1034">
        <v>0</v>
      </c>
      <c r="K138" s="1034">
        <v>0</v>
      </c>
      <c r="L138" s="21"/>
      <c r="M138" s="1033">
        <f t="shared" si="46"/>
        <v>0</v>
      </c>
    </row>
    <row r="139" spans="2:18" ht="7.5" customHeight="1" x14ac:dyDescent="0.3">
      <c r="D139" s="804"/>
      <c r="E139" s="94"/>
      <c r="F139" s="485"/>
      <c r="G139" s="94"/>
      <c r="H139" s="94"/>
      <c r="I139" s="94"/>
      <c r="J139" s="94"/>
      <c r="K139" s="94"/>
      <c r="L139" s="21"/>
    </row>
    <row r="140" spans="2:18" x14ac:dyDescent="0.3">
      <c r="D140" s="804"/>
      <c r="E140" s="1042" t="s">
        <v>824</v>
      </c>
      <c r="F140" s="1226">
        <f t="shared" ref="F140:K140" si="47">F132-F129</f>
        <v>0</v>
      </c>
      <c r="G140" s="1226">
        <f t="shared" si="47"/>
        <v>2814284.943064319</v>
      </c>
      <c r="H140" s="1226">
        <f t="shared" si="47"/>
        <v>2676278.0207868926</v>
      </c>
      <c r="I140" s="1226">
        <f t="shared" si="47"/>
        <v>2531627.1416183673</v>
      </c>
      <c r="J140" s="1226">
        <f t="shared" si="47"/>
        <v>2303366.2744895034</v>
      </c>
      <c r="K140" s="1226">
        <f t="shared" si="47"/>
        <v>2155840.2834812421</v>
      </c>
      <c r="L140" s="21"/>
    </row>
    <row r="141" spans="2:18" x14ac:dyDescent="0.3">
      <c r="D141" s="804"/>
      <c r="E141" s="1042" t="s">
        <v>823</v>
      </c>
      <c r="F141" s="1227">
        <f>F132-F129</f>
        <v>0</v>
      </c>
      <c r="G141" s="1227">
        <f>G132-G130</f>
        <v>2814284.943064319</v>
      </c>
      <c r="H141" s="1227">
        <f t="shared" ref="H141:K141" si="48">H132-H130</f>
        <v>1631878.0207868926</v>
      </c>
      <c r="I141" s="1227">
        <f t="shared" si="48"/>
        <v>1445427.1416183673</v>
      </c>
      <c r="J141" s="1227">
        <f t="shared" si="48"/>
        <v>1173766.2744895034</v>
      </c>
      <c r="K141" s="1227">
        <f t="shared" si="48"/>
        <v>753040.28348124214</v>
      </c>
      <c r="L141" s="21"/>
    </row>
    <row r="142" spans="2:18" ht="7.5" customHeight="1" x14ac:dyDescent="0.3">
      <c r="D142" s="806"/>
      <c r="E142" s="94"/>
      <c r="F142" s="485"/>
      <c r="G142" s="94"/>
      <c r="H142" s="94"/>
      <c r="I142" s="94"/>
      <c r="J142" s="94"/>
      <c r="K142" s="94"/>
      <c r="L142" s="21"/>
    </row>
    <row r="143" spans="2:18" ht="17.25" customHeight="1" x14ac:dyDescent="0.3">
      <c r="C143" s="94"/>
      <c r="D143" s="514"/>
      <c r="E143" s="1374" t="s">
        <v>755</v>
      </c>
      <c r="F143" s="1374"/>
      <c r="G143" s="1374"/>
      <c r="H143" s="1374"/>
      <c r="I143" s="1374"/>
      <c r="J143" s="1374"/>
      <c r="K143" s="1374"/>
      <c r="L143" s="1375"/>
      <c r="M143" s="520"/>
      <c r="N143" s="520"/>
      <c r="O143" s="521"/>
      <c r="P143" s="543"/>
    </row>
    <row r="144" spans="2:18" ht="19.95" customHeight="1" thickBot="1" x14ac:dyDescent="0.35">
      <c r="D144" s="810"/>
      <c r="E144" s="1237" t="s">
        <v>826</v>
      </c>
      <c r="F144" s="1120"/>
      <c r="G144" s="1120"/>
      <c r="H144" s="1120"/>
      <c r="I144" s="1120"/>
      <c r="J144" s="811"/>
      <c r="K144" s="811"/>
      <c r="L144" s="812"/>
    </row>
    <row r="146" spans="2:19" x14ac:dyDescent="0.3">
      <c r="G146" s="580"/>
      <c r="O146"/>
      <c r="Q146" s="362"/>
      <c r="S146" s="481"/>
    </row>
    <row r="147" spans="2:19" x14ac:dyDescent="0.3">
      <c r="O147"/>
      <c r="Q147" s="362"/>
      <c r="S147" s="481"/>
    </row>
    <row r="148" spans="2:19" ht="15" thickBot="1" x14ac:dyDescent="0.35">
      <c r="O148"/>
      <c r="Q148" s="362"/>
      <c r="S148" s="481"/>
    </row>
    <row r="149" spans="2:19" ht="40.5" customHeight="1" x14ac:dyDescent="0.3">
      <c r="B149" s="362" t="s">
        <v>846</v>
      </c>
      <c r="D149" s="1038" t="s">
        <v>740</v>
      </c>
      <c r="E149" s="1035"/>
      <c r="F149" s="1036"/>
      <c r="G149" s="1036"/>
      <c r="H149" s="1036"/>
      <c r="I149" s="1036"/>
      <c r="J149" s="1036"/>
      <c r="K149" s="1036"/>
      <c r="L149" s="1037"/>
    </row>
    <row r="150" spans="2:19" ht="15.9" customHeight="1" x14ac:dyDescent="0.3">
      <c r="D150" s="1039"/>
      <c r="E150" s="1040"/>
      <c r="F150" s="504" t="s">
        <v>558</v>
      </c>
      <c r="G150" s="505" t="s">
        <v>552</v>
      </c>
      <c r="H150" s="505" t="s">
        <v>553</v>
      </c>
      <c r="I150" s="505" t="s">
        <v>554</v>
      </c>
      <c r="J150" s="505" t="s">
        <v>555</v>
      </c>
      <c r="K150" s="505" t="s">
        <v>556</v>
      </c>
      <c r="L150" s="1041"/>
      <c r="M150" s="1030" t="s">
        <v>549</v>
      </c>
    </row>
    <row r="151" spans="2:19" x14ac:dyDescent="0.3">
      <c r="D151" s="804"/>
      <c r="E151" s="94"/>
      <c r="F151" s="485"/>
      <c r="G151" s="94"/>
      <c r="H151" s="94"/>
      <c r="I151" s="94"/>
      <c r="J151" s="94"/>
      <c r="K151" s="94"/>
      <c r="L151" s="21"/>
    </row>
    <row r="152" spans="2:19" x14ac:dyDescent="0.3">
      <c r="D152" s="804"/>
      <c r="E152" s="92" t="s">
        <v>803</v>
      </c>
      <c r="F152" s="485"/>
      <c r="G152" s="94"/>
      <c r="H152" s="94"/>
      <c r="I152" s="94"/>
      <c r="J152" s="94"/>
      <c r="K152" s="94"/>
      <c r="L152" s="21"/>
    </row>
    <row r="153" spans="2:19" x14ac:dyDescent="0.3">
      <c r="D153" s="804"/>
      <c r="E153" s="92" t="s">
        <v>804</v>
      </c>
      <c r="F153" s="1044"/>
      <c r="G153" s="1031">
        <f>G26</f>
        <v>2997578.08</v>
      </c>
      <c r="H153" s="1031">
        <f>H26</f>
        <v>3117481.2032000003</v>
      </c>
      <c r="I153" s="1031">
        <f>I26</f>
        <v>3242180.4513280001</v>
      </c>
      <c r="J153" s="1031">
        <f>J26</f>
        <v>3371867.6693811202</v>
      </c>
      <c r="K153" s="1031">
        <f>K26</f>
        <v>3506742.376156365</v>
      </c>
      <c r="L153" s="21"/>
    </row>
    <row r="154" spans="2:19" s="1076" customFormat="1" x14ac:dyDescent="0.3">
      <c r="D154" s="1121"/>
      <c r="E154" s="1122"/>
      <c r="F154" s="1127"/>
      <c r="G154" s="1123"/>
      <c r="H154" s="1123"/>
      <c r="I154" s="1123"/>
      <c r="J154" s="1123"/>
      <c r="K154" s="1123"/>
      <c r="L154" s="1124"/>
      <c r="O154" s="1125"/>
      <c r="P154" s="1125"/>
      <c r="Q154" s="1126"/>
      <c r="R154" s="1126"/>
    </row>
    <row r="155" spans="2:19" x14ac:dyDescent="0.3">
      <c r="D155" s="804"/>
      <c r="E155" s="92" t="s">
        <v>548</v>
      </c>
      <c r="F155" s="1044"/>
      <c r="G155" s="1031">
        <f>2900000</f>
        <v>2900000</v>
      </c>
      <c r="H155" s="1031">
        <f t="shared" ref="H155:K155" si="49">2900000</f>
        <v>2900000</v>
      </c>
      <c r="I155" s="1031">
        <f t="shared" si="49"/>
        <v>2900000</v>
      </c>
      <c r="J155" s="1031">
        <f t="shared" si="49"/>
        <v>2900000</v>
      </c>
      <c r="K155" s="1031">
        <f t="shared" si="49"/>
        <v>2900000</v>
      </c>
      <c r="L155" s="1032"/>
    </row>
    <row r="156" spans="2:19" x14ac:dyDescent="0.3">
      <c r="D156" s="804"/>
      <c r="E156" s="94" t="s">
        <v>686</v>
      </c>
      <c r="F156" s="1128"/>
      <c r="G156" s="1034">
        <v>0</v>
      </c>
      <c r="H156" s="1034">
        <v>0</v>
      </c>
      <c r="I156" s="1034">
        <v>0</v>
      </c>
      <c r="J156" s="1034">
        <v>0</v>
      </c>
      <c r="K156" s="1034">
        <v>0</v>
      </c>
      <c r="L156" s="21"/>
      <c r="M156" s="1033">
        <f>G156/G$155</f>
        <v>0</v>
      </c>
    </row>
    <row r="157" spans="2:19" x14ac:dyDescent="0.3">
      <c r="D157" s="804"/>
      <c r="E157" s="94" t="s">
        <v>687</v>
      </c>
      <c r="F157" s="1129"/>
      <c r="G157" s="1034">
        <v>0</v>
      </c>
      <c r="H157" s="1034">
        <v>0</v>
      </c>
      <c r="I157" s="1034">
        <v>0</v>
      </c>
      <c r="J157" s="1034">
        <v>0</v>
      </c>
      <c r="K157" s="1034">
        <v>0</v>
      </c>
      <c r="L157" s="21"/>
      <c r="M157" s="1033">
        <f t="shared" ref="M157:M161" si="50">G157/G$155</f>
        <v>0</v>
      </c>
    </row>
    <row r="158" spans="2:19" x14ac:dyDescent="0.3">
      <c r="D158" s="804"/>
      <c r="E158" s="94" t="s">
        <v>748</v>
      </c>
      <c r="F158" s="1128"/>
      <c r="G158" s="1034">
        <f>2900000</f>
        <v>2900000</v>
      </c>
      <c r="H158" s="1034">
        <f t="shared" ref="H158:K158" si="51">2900000</f>
        <v>2900000</v>
      </c>
      <c r="I158" s="1034">
        <f t="shared" si="51"/>
        <v>2900000</v>
      </c>
      <c r="J158" s="1034">
        <f t="shared" si="51"/>
        <v>2900000</v>
      </c>
      <c r="K158" s="1034">
        <f t="shared" si="51"/>
        <v>2900000</v>
      </c>
      <c r="L158" s="21"/>
      <c r="M158" s="1033">
        <f t="shared" si="50"/>
        <v>1</v>
      </c>
    </row>
    <row r="159" spans="2:19" x14ac:dyDescent="0.3">
      <c r="D159" s="804"/>
      <c r="E159" s="94" t="s">
        <v>543</v>
      </c>
      <c r="F159" s="1128"/>
      <c r="G159" s="1034">
        <v>0</v>
      </c>
      <c r="H159" s="1034">
        <v>0</v>
      </c>
      <c r="I159" s="1034">
        <v>0</v>
      </c>
      <c r="J159" s="1034">
        <v>0</v>
      </c>
      <c r="K159" s="1034">
        <v>0</v>
      </c>
      <c r="L159" s="21"/>
      <c r="M159" s="1033">
        <f t="shared" si="50"/>
        <v>0</v>
      </c>
    </row>
    <row r="160" spans="2:19" x14ac:dyDescent="0.3">
      <c r="D160" s="804"/>
      <c r="E160" s="94" t="s">
        <v>547</v>
      </c>
      <c r="F160" s="1128"/>
      <c r="G160" s="1034">
        <v>0</v>
      </c>
      <c r="H160" s="1034">
        <v>0</v>
      </c>
      <c r="I160" s="1034">
        <v>0</v>
      </c>
      <c r="J160" s="1034">
        <v>0</v>
      </c>
      <c r="K160" s="1034">
        <v>0</v>
      </c>
      <c r="L160" s="21"/>
      <c r="M160" s="1033">
        <f t="shared" si="50"/>
        <v>0</v>
      </c>
    </row>
    <row r="161" spans="2:19" x14ac:dyDescent="0.3">
      <c r="D161" s="804"/>
      <c r="E161" s="94" t="s">
        <v>862</v>
      </c>
      <c r="F161" s="1128"/>
      <c r="G161" s="1034">
        <v>0</v>
      </c>
      <c r="H161" s="1034">
        <v>0</v>
      </c>
      <c r="I161" s="1034">
        <v>0</v>
      </c>
      <c r="J161" s="1034">
        <v>0</v>
      </c>
      <c r="K161" s="1034">
        <v>0</v>
      </c>
      <c r="L161" s="21"/>
      <c r="M161" s="1033">
        <f t="shared" si="50"/>
        <v>0</v>
      </c>
    </row>
    <row r="162" spans="2:19" ht="7.5" customHeight="1" x14ac:dyDescent="0.3">
      <c r="D162" s="804"/>
      <c r="E162" s="94"/>
      <c r="F162" s="485"/>
      <c r="G162" s="94"/>
      <c r="H162" s="94"/>
      <c r="I162" s="94"/>
      <c r="J162" s="94"/>
      <c r="K162" s="94"/>
      <c r="L162" s="21"/>
    </row>
    <row r="163" spans="2:19" x14ac:dyDescent="0.3">
      <c r="B163" s="94"/>
      <c r="D163" s="804"/>
      <c r="E163" s="1042" t="s">
        <v>824</v>
      </c>
      <c r="F163" s="1226">
        <f t="shared" ref="F163:K163" si="52">F155-F152</f>
        <v>0</v>
      </c>
      <c r="G163" s="1226">
        <f t="shared" si="52"/>
        <v>2900000</v>
      </c>
      <c r="H163" s="1226">
        <f t="shared" si="52"/>
        <v>2900000</v>
      </c>
      <c r="I163" s="1226">
        <f t="shared" si="52"/>
        <v>2900000</v>
      </c>
      <c r="J163" s="1226">
        <f t="shared" si="52"/>
        <v>2900000</v>
      </c>
      <c r="K163" s="1226">
        <f t="shared" si="52"/>
        <v>2900000</v>
      </c>
      <c r="L163" s="21"/>
    </row>
    <row r="164" spans="2:19" x14ac:dyDescent="0.3">
      <c r="B164" s="94"/>
      <c r="D164" s="804"/>
      <c r="E164" s="1042" t="s">
        <v>823</v>
      </c>
      <c r="F164" s="1227">
        <f>F155-F152</f>
        <v>0</v>
      </c>
      <c r="G164" s="1227">
        <f>G155-G153</f>
        <v>-97578.080000000075</v>
      </c>
      <c r="H164" s="1227">
        <f t="shared" ref="H164:K164" si="53">H155-H153</f>
        <v>-217481.20320000034</v>
      </c>
      <c r="I164" s="1227">
        <f t="shared" si="53"/>
        <v>-342180.45132800005</v>
      </c>
      <c r="J164" s="1227">
        <f t="shared" si="53"/>
        <v>-471867.66938112024</v>
      </c>
      <c r="K164" s="1227">
        <f t="shared" si="53"/>
        <v>-606742.37615636503</v>
      </c>
      <c r="L164" s="21"/>
    </row>
    <row r="165" spans="2:19" ht="7.5" customHeight="1" x14ac:dyDescent="0.3">
      <c r="D165" s="806"/>
      <c r="E165" s="94"/>
      <c r="F165" s="485"/>
      <c r="G165" s="94"/>
      <c r="H165" s="94"/>
      <c r="I165" s="94"/>
      <c r="J165" s="94"/>
      <c r="K165" s="94"/>
      <c r="L165" s="21"/>
    </row>
    <row r="166" spans="2:19" ht="17.25" customHeight="1" x14ac:dyDescent="0.3">
      <c r="C166" s="94"/>
      <c r="D166" s="514"/>
      <c r="E166" s="1374" t="s">
        <v>756</v>
      </c>
      <c r="F166" s="1374"/>
      <c r="G166" s="1374"/>
      <c r="H166" s="1374"/>
      <c r="I166" s="1374"/>
      <c r="J166" s="1374"/>
      <c r="K166" s="1374"/>
      <c r="L166" s="1375"/>
      <c r="M166" s="520"/>
      <c r="N166" s="520"/>
      <c r="O166" s="521"/>
      <c r="P166" s="543"/>
    </row>
    <row r="167" spans="2:19" ht="4.2" customHeight="1" thickBot="1" x14ac:dyDescent="0.35">
      <c r="D167" s="810"/>
      <c r="E167" s="1120"/>
      <c r="F167" s="1120"/>
      <c r="G167" s="1120"/>
      <c r="H167" s="1120"/>
      <c r="I167" s="1120"/>
      <c r="J167" s="811"/>
      <c r="K167" s="811"/>
      <c r="L167" s="812"/>
    </row>
    <row r="169" spans="2:19" x14ac:dyDescent="0.3">
      <c r="O169"/>
      <c r="Q169" s="362"/>
      <c r="S169" s="481"/>
    </row>
    <row r="170" spans="2:19" x14ac:dyDescent="0.3">
      <c r="O170"/>
      <c r="Q170" s="362"/>
      <c r="S170" s="481"/>
    </row>
    <row r="171" spans="2:19" ht="15" thickBot="1" x14ac:dyDescent="0.35">
      <c r="O171"/>
      <c r="Q171" s="362"/>
      <c r="S171" s="481"/>
    </row>
    <row r="172" spans="2:19" ht="54.75" customHeight="1" x14ac:dyDescent="0.3">
      <c r="D172" s="1038"/>
      <c r="E172" s="1339" t="s">
        <v>860</v>
      </c>
      <c r="F172" s="1036"/>
      <c r="G172" s="1036"/>
      <c r="H172" s="1036"/>
      <c r="I172" s="1036"/>
      <c r="J172" s="1036"/>
      <c r="K172" s="1036"/>
      <c r="L172" s="1037"/>
    </row>
    <row r="173" spans="2:19" ht="15.9" customHeight="1" x14ac:dyDescent="0.3">
      <c r="D173" s="1039"/>
      <c r="E173" s="1040"/>
      <c r="F173" s="504" t="s">
        <v>558</v>
      </c>
      <c r="G173" s="505" t="s">
        <v>552</v>
      </c>
      <c r="H173" s="505" t="s">
        <v>553</v>
      </c>
      <c r="I173" s="505" t="s">
        <v>554</v>
      </c>
      <c r="J173" s="505" t="s">
        <v>555</v>
      </c>
      <c r="K173" s="505" t="s">
        <v>556</v>
      </c>
      <c r="L173" s="1041"/>
      <c r="M173" s="1030" t="s">
        <v>549</v>
      </c>
    </row>
    <row r="174" spans="2:19" ht="8.25" customHeight="1" x14ac:dyDescent="0.3">
      <c r="D174" s="804"/>
      <c r="E174" s="94"/>
      <c r="F174" s="485"/>
      <c r="G174" s="94"/>
      <c r="H174" s="94"/>
      <c r="I174" s="94"/>
      <c r="J174" s="94"/>
      <c r="K174" s="94"/>
      <c r="L174" s="21"/>
    </row>
    <row r="175" spans="2:19" x14ac:dyDescent="0.3">
      <c r="D175" s="804"/>
      <c r="E175" s="92" t="s">
        <v>803</v>
      </c>
      <c r="F175" s="485"/>
      <c r="G175" s="1031">
        <f>G101</f>
        <v>2329986</v>
      </c>
      <c r="H175" s="1031">
        <f t="shared" ref="H175:K175" si="54">H101</f>
        <v>2423185.44</v>
      </c>
      <c r="I175" s="1031">
        <f t="shared" si="54"/>
        <v>2520112.8575999998</v>
      </c>
      <c r="J175" s="1031">
        <f t="shared" si="54"/>
        <v>2620917.3719040002</v>
      </c>
      <c r="K175" s="1031">
        <f t="shared" si="54"/>
        <v>2725754.0667801602</v>
      </c>
      <c r="L175" s="21"/>
    </row>
    <row r="176" spans="2:19" x14ac:dyDescent="0.3">
      <c r="D176" s="804"/>
      <c r="E176" s="92" t="s">
        <v>804</v>
      </c>
      <c r="F176" s="1044"/>
      <c r="G176" s="1031">
        <f>G104</f>
        <v>2354986</v>
      </c>
      <c r="H176" s="1031">
        <f t="shared" ref="H176:K176" si="55">H104</f>
        <v>2449185.44</v>
      </c>
      <c r="I176" s="1031">
        <f t="shared" si="55"/>
        <v>2520112.8575999998</v>
      </c>
      <c r="J176" s="1031">
        <f t="shared" si="55"/>
        <v>2620917.3719040002</v>
      </c>
      <c r="K176" s="1031">
        <f t="shared" si="55"/>
        <v>2725754.0667801602</v>
      </c>
      <c r="L176" s="21"/>
    </row>
    <row r="177" spans="2:18" s="1076" customFormat="1" ht="9" customHeight="1" x14ac:dyDescent="0.3">
      <c r="D177" s="1121"/>
      <c r="E177" s="1122"/>
      <c r="F177" s="1127"/>
      <c r="G177" s="1123"/>
      <c r="H177" s="1123"/>
      <c r="I177" s="1123"/>
      <c r="J177" s="1123"/>
      <c r="K177" s="1123"/>
      <c r="L177" s="1124"/>
      <c r="O177" s="1125"/>
      <c r="P177" s="1125"/>
      <c r="Q177" s="1126"/>
      <c r="R177" s="1126"/>
    </row>
    <row r="178" spans="2:18" x14ac:dyDescent="0.3">
      <c r="D178" s="804"/>
      <c r="E178" s="92" t="s">
        <v>548</v>
      </c>
      <c r="F178" s="1044"/>
      <c r="G178" s="1031">
        <f>G97</f>
        <v>2489315</v>
      </c>
      <c r="H178" s="1031">
        <f t="shared" ref="H178:K178" si="56">H97</f>
        <v>2301000</v>
      </c>
      <c r="I178" s="1031">
        <f t="shared" si="56"/>
        <v>2354700</v>
      </c>
      <c r="J178" s="1031">
        <f t="shared" si="56"/>
        <v>2410500</v>
      </c>
      <c r="K178" s="1031">
        <f t="shared" si="56"/>
        <v>2468500</v>
      </c>
      <c r="L178" s="1032"/>
    </row>
    <row r="179" spans="2:18" x14ac:dyDescent="0.3">
      <c r="D179" s="804"/>
      <c r="E179" s="94" t="s">
        <v>686</v>
      </c>
      <c r="F179" s="1128"/>
      <c r="G179" s="1034">
        <v>0</v>
      </c>
      <c r="H179" s="1034">
        <v>0</v>
      </c>
      <c r="I179" s="1034">
        <v>0</v>
      </c>
      <c r="J179" s="1034">
        <v>0</v>
      </c>
      <c r="K179" s="1034">
        <v>0</v>
      </c>
      <c r="L179" s="21"/>
      <c r="M179" s="1033">
        <f>G179/G$178</f>
        <v>0</v>
      </c>
    </row>
    <row r="180" spans="2:18" x14ac:dyDescent="0.3">
      <c r="D180" s="804"/>
      <c r="E180" s="94" t="s">
        <v>687</v>
      </c>
      <c r="F180" s="1129"/>
      <c r="G180" s="1034">
        <v>0</v>
      </c>
      <c r="H180" s="1034">
        <v>0</v>
      </c>
      <c r="I180" s="1034">
        <v>0</v>
      </c>
      <c r="J180" s="1034">
        <v>0</v>
      </c>
      <c r="K180" s="1034">
        <v>0</v>
      </c>
      <c r="L180" s="21"/>
      <c r="M180" s="1033">
        <f t="shared" ref="M180:M185" si="57">G180/G$178</f>
        <v>0</v>
      </c>
    </row>
    <row r="181" spans="2:18" x14ac:dyDescent="0.3">
      <c r="D181" s="804"/>
      <c r="E181" s="94" t="s">
        <v>748</v>
      </c>
      <c r="F181" s="1128"/>
      <c r="G181" s="1034">
        <f>SUM(G76,G78,G80,G82)</f>
        <v>1352675</v>
      </c>
      <c r="H181" s="1034">
        <f>SUM(H76,H78,H80,H82)</f>
        <v>1404300</v>
      </c>
      <c r="I181" s="1034">
        <f>SUM(I76,I78,I80,I82)</f>
        <v>1458000</v>
      </c>
      <c r="J181" s="1034">
        <f>SUM(J76,J78,J80,J82)</f>
        <v>1513800</v>
      </c>
      <c r="K181" s="1034">
        <f>SUM(K76,K78,K80,K82)</f>
        <v>1571800</v>
      </c>
      <c r="L181" s="21"/>
      <c r="M181" s="1033">
        <f t="shared" si="57"/>
        <v>0.54339245937135316</v>
      </c>
    </row>
    <row r="182" spans="2:18" x14ac:dyDescent="0.3">
      <c r="D182" s="804"/>
      <c r="E182" s="94" t="s">
        <v>543</v>
      </c>
      <c r="F182" s="1128"/>
      <c r="G182" s="1034">
        <v>0</v>
      </c>
      <c r="H182" s="1034">
        <v>0</v>
      </c>
      <c r="I182" s="1034">
        <v>0</v>
      </c>
      <c r="J182" s="1034">
        <v>0</v>
      </c>
      <c r="K182" s="1034">
        <v>0</v>
      </c>
      <c r="L182" s="21"/>
      <c r="M182" s="1033">
        <f t="shared" si="57"/>
        <v>0</v>
      </c>
    </row>
    <row r="183" spans="2:18" x14ac:dyDescent="0.3">
      <c r="D183" s="804"/>
      <c r="E183" s="94" t="s">
        <v>547</v>
      </c>
      <c r="F183" s="1128"/>
      <c r="G183" s="1034">
        <f>SUM(G77,G82,G83,G84,G85,G86)</f>
        <v>186859</v>
      </c>
      <c r="H183" s="1034">
        <f>SUM(H77,H82,H83,H84,H85,H86)</f>
        <v>186900</v>
      </c>
      <c r="I183" s="1034">
        <f>SUM(I77,I82,I83,I84,I85,I86)</f>
        <v>186900</v>
      </c>
      <c r="J183" s="1034">
        <f>SUM(J77,J82,J83,J84,J85,J86)</f>
        <v>186900</v>
      </c>
      <c r="K183" s="1034">
        <f>SUM(K77,K82,K83,K84,K85,K86)</f>
        <v>186900</v>
      </c>
      <c r="L183" s="21"/>
      <c r="M183" s="1033">
        <f t="shared" si="57"/>
        <v>7.5064425353962835E-2</v>
      </c>
    </row>
    <row r="184" spans="2:18" x14ac:dyDescent="0.3">
      <c r="D184" s="804"/>
      <c r="E184" s="94" t="s">
        <v>742</v>
      </c>
      <c r="F184" s="1128"/>
      <c r="G184" s="1034">
        <f>G87</f>
        <v>377656</v>
      </c>
      <c r="H184" s="1034">
        <f>H87</f>
        <v>377700</v>
      </c>
      <c r="I184" s="1034">
        <f>I87</f>
        <v>377700</v>
      </c>
      <c r="J184" s="1034">
        <f>J87</f>
        <v>377700</v>
      </c>
      <c r="K184" s="1034">
        <f>K87</f>
        <v>377700</v>
      </c>
      <c r="L184" s="21"/>
      <c r="M184" s="1033">
        <f t="shared" si="57"/>
        <v>0.15171081201053302</v>
      </c>
    </row>
    <row r="185" spans="2:18" x14ac:dyDescent="0.3">
      <c r="D185" s="804"/>
      <c r="E185" s="94" t="s">
        <v>743</v>
      </c>
      <c r="F185" s="1128"/>
      <c r="G185" s="1034">
        <f>G88+G89</f>
        <v>325359</v>
      </c>
      <c r="H185" s="1034">
        <f>H88+H89</f>
        <v>325400</v>
      </c>
      <c r="I185" s="1034">
        <f>I88+I89</f>
        <v>325400</v>
      </c>
      <c r="J185" s="1034">
        <f>J88+J89</f>
        <v>325400</v>
      </c>
      <c r="K185" s="1034">
        <f>K88+K89</f>
        <v>325400</v>
      </c>
      <c r="L185" s="21"/>
      <c r="M185" s="1033">
        <f t="shared" si="57"/>
        <v>0.13070222129380973</v>
      </c>
    </row>
    <row r="186" spans="2:18" x14ac:dyDescent="0.3">
      <c r="D186" s="804"/>
      <c r="E186" s="94" t="s">
        <v>747</v>
      </c>
      <c r="F186" s="1128"/>
      <c r="G186" s="1034">
        <f>'TNTTMA $'!F16</f>
        <v>240000</v>
      </c>
      <c r="H186" s="1034"/>
      <c r="I186" s="1034"/>
      <c r="J186" s="1034"/>
      <c r="K186" s="1034"/>
      <c r="L186" s="21"/>
      <c r="M186" s="1033"/>
    </row>
    <row r="187" spans="2:18" ht="7.5" customHeight="1" x14ac:dyDescent="0.3">
      <c r="D187" s="804"/>
      <c r="E187" s="94"/>
      <c r="F187" s="485"/>
      <c r="G187" s="94"/>
      <c r="H187" s="94"/>
      <c r="I187" s="94"/>
      <c r="J187" s="94"/>
      <c r="K187" s="94"/>
      <c r="L187" s="21"/>
    </row>
    <row r="188" spans="2:18" x14ac:dyDescent="0.3">
      <c r="B188" s="94"/>
      <c r="D188" s="804"/>
      <c r="E188" s="1042" t="s">
        <v>824</v>
      </c>
      <c r="F188" s="1226">
        <f>F180-F177</f>
        <v>0</v>
      </c>
      <c r="G188" s="1226">
        <f>G178-G175</f>
        <v>159329</v>
      </c>
      <c r="H188" s="1226">
        <f t="shared" ref="H188:K188" si="58">H178-H175</f>
        <v>-122185.43999999994</v>
      </c>
      <c r="I188" s="1226">
        <f t="shared" si="58"/>
        <v>-165412.85759999976</v>
      </c>
      <c r="J188" s="1226">
        <f t="shared" si="58"/>
        <v>-210417.37190400017</v>
      </c>
      <c r="K188" s="1226">
        <f t="shared" si="58"/>
        <v>-257254.06678016018</v>
      </c>
      <c r="L188" s="21"/>
    </row>
    <row r="189" spans="2:18" x14ac:dyDescent="0.3">
      <c r="B189" s="94"/>
      <c r="D189" s="804"/>
      <c r="E189" s="1042" t="s">
        <v>823</v>
      </c>
      <c r="F189" s="1227">
        <f>F180-F177</f>
        <v>0</v>
      </c>
      <c r="G189" s="1227">
        <f>G178-G176</f>
        <v>134329</v>
      </c>
      <c r="H189" s="1227">
        <f t="shared" ref="H189:K189" si="59">H178-H176</f>
        <v>-148185.43999999994</v>
      </c>
      <c r="I189" s="1227">
        <f t="shared" si="59"/>
        <v>-165412.85759999976</v>
      </c>
      <c r="J189" s="1227">
        <f t="shared" si="59"/>
        <v>-210417.37190400017</v>
      </c>
      <c r="K189" s="1227">
        <f t="shared" si="59"/>
        <v>-257254.06678016018</v>
      </c>
      <c r="L189" s="21"/>
    </row>
    <row r="190" spans="2:18" ht="7.5" customHeight="1" x14ac:dyDescent="0.3">
      <c r="D190" s="804"/>
      <c r="E190" s="94"/>
      <c r="F190" s="485"/>
      <c r="G190" s="94"/>
      <c r="H190" s="94"/>
      <c r="I190" s="94"/>
      <c r="J190" s="94"/>
      <c r="K190" s="94"/>
      <c r="L190" s="21"/>
    </row>
    <row r="191" spans="2:18" ht="3.9" customHeight="1" x14ac:dyDescent="0.3">
      <c r="D191" s="1113"/>
      <c r="E191" s="1116"/>
      <c r="F191" s="1117"/>
      <c r="G191" s="1116"/>
      <c r="H191" s="1116"/>
      <c r="I191" s="1116"/>
      <c r="J191" s="1114"/>
      <c r="K191" s="1114"/>
      <c r="L191" s="1115"/>
    </row>
    <row r="192" spans="2:18" ht="12" customHeight="1" x14ac:dyDescent="0.3">
      <c r="D192" s="804"/>
      <c r="E192" s="1119" t="s">
        <v>757</v>
      </c>
      <c r="F192" s="1118"/>
      <c r="G192" s="1119"/>
      <c r="H192" s="1119"/>
      <c r="I192" s="1119"/>
      <c r="J192" s="94"/>
      <c r="K192" s="94"/>
      <c r="L192" s="21"/>
    </row>
    <row r="193" spans="4:19" x14ac:dyDescent="0.3">
      <c r="D193" s="804"/>
      <c r="E193" s="1119" t="s">
        <v>859</v>
      </c>
      <c r="F193" s="1118"/>
      <c r="G193" s="1119"/>
      <c r="H193" s="1119"/>
      <c r="I193" s="1119"/>
      <c r="J193" s="94"/>
      <c r="K193" s="94"/>
      <c r="L193" s="21"/>
    </row>
    <row r="194" spans="4:19" ht="4.2" customHeight="1" thickBot="1" x14ac:dyDescent="0.35">
      <c r="D194" s="810"/>
      <c r="E194" s="1120"/>
      <c r="F194" s="1120"/>
      <c r="G194" s="1120"/>
      <c r="H194" s="1120"/>
      <c r="I194" s="1120"/>
      <c r="J194" s="811"/>
      <c r="K194" s="811"/>
      <c r="L194" s="812"/>
    </row>
    <row r="196" spans="4:19" x14ac:dyDescent="0.3">
      <c r="G196" s="580"/>
      <c r="O196"/>
      <c r="Q196" s="362"/>
      <c r="S196" s="481"/>
    </row>
    <row r="197" spans="4:19" x14ac:dyDescent="0.3">
      <c r="O197"/>
      <c r="Q197" s="362"/>
      <c r="S197" s="481"/>
    </row>
    <row r="198" spans="4:19" x14ac:dyDescent="0.3">
      <c r="O198"/>
      <c r="Q198" s="362"/>
      <c r="S198" s="481"/>
    </row>
    <row r="199" spans="4:19" x14ac:dyDescent="0.3">
      <c r="G199" s="580">
        <f>SUM(G135,G181)</f>
        <v>7413508</v>
      </c>
      <c r="H199" s="371">
        <f>G199/'T1 Summary Table'!F17</f>
        <v>0.7558578281236108</v>
      </c>
      <c r="O199"/>
      <c r="Q199" s="362"/>
      <c r="S199" s="481"/>
    </row>
    <row r="200" spans="4:19" x14ac:dyDescent="0.3">
      <c r="O200"/>
      <c r="Q200" s="362"/>
      <c r="S200" s="481"/>
    </row>
  </sheetData>
  <mergeCells count="11">
    <mergeCell ref="D14:K14"/>
    <mergeCell ref="D43:K43"/>
    <mergeCell ref="M54:M56"/>
    <mergeCell ref="O59:Q59"/>
    <mergeCell ref="D44:K44"/>
    <mergeCell ref="E143:L143"/>
    <mergeCell ref="E166:L166"/>
    <mergeCell ref="O69:Q69"/>
    <mergeCell ref="O61:R61"/>
    <mergeCell ref="O62:R62"/>
    <mergeCell ref="O63:R63"/>
  </mergeCells>
  <pageMargins left="0.7" right="0.7" top="0.75" bottom="0.75" header="0.3" footer="0.3"/>
  <pageSetup scale="41" orientation="landscape" r:id="rId1"/>
  <ignoredErrors>
    <ignoredError sqref="F86:H91 F93:H93 G92:H92 H82 I79:K81" formula="1"/>
    <ignoredError sqref="F92" formula="1"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0C9A5-6477-4FD7-AABF-006BF1978FDD}">
  <sheetPr>
    <tabColor rgb="FFFFC000"/>
  </sheetPr>
  <dimension ref="A1:AH103"/>
  <sheetViews>
    <sheetView showGridLines="0" topLeftCell="A14" zoomScale="89" zoomScaleNormal="89" workbookViewId="0">
      <selection activeCell="Q86" sqref="Q86"/>
    </sheetView>
  </sheetViews>
  <sheetFormatPr defaultRowHeight="14.4" x14ac:dyDescent="0.3"/>
  <cols>
    <col min="2" max="2" width="22.5546875" customWidth="1"/>
    <col min="3" max="4" width="1.77734375" customWidth="1"/>
    <col min="5" max="5" width="24.109375" customWidth="1"/>
    <col min="7" max="7" width="43.5546875" customWidth="1"/>
    <col min="8" max="12" width="13.77734375" customWidth="1"/>
    <col min="13" max="13" width="1" customWidth="1"/>
    <col min="14" max="14" width="12.33203125" customWidth="1"/>
    <col min="15" max="15" width="2.77734375" customWidth="1"/>
    <col min="16" max="16" width="11.44140625" customWidth="1"/>
    <col min="17" max="17" width="31.5546875" customWidth="1"/>
    <col min="18" max="18" width="19.5546875" customWidth="1"/>
    <col min="19" max="19" width="1.44140625" customWidth="1"/>
    <col min="23" max="23" width="0.88671875" customWidth="1"/>
    <col min="27" max="27" width="10" customWidth="1"/>
  </cols>
  <sheetData>
    <row r="1" spans="2:28" x14ac:dyDescent="0.3">
      <c r="P1" s="917">
        <v>1.03</v>
      </c>
      <c r="Q1" s="365" t="s">
        <v>347</v>
      </c>
    </row>
    <row r="4" spans="2:28" ht="15" thickBot="1" x14ac:dyDescent="0.35"/>
    <row r="5" spans="2:28" x14ac:dyDescent="0.3">
      <c r="B5" s="823" t="s">
        <v>309</v>
      </c>
      <c r="C5" s="487"/>
      <c r="D5" s="488"/>
      <c r="E5" s="488"/>
      <c r="F5" s="488"/>
      <c r="G5" s="488"/>
      <c r="H5" s="488"/>
      <c r="I5" s="488"/>
      <c r="J5" s="488"/>
      <c r="K5" s="488"/>
      <c r="L5" s="488"/>
      <c r="M5" s="488"/>
      <c r="N5" s="488"/>
      <c r="O5" s="489"/>
      <c r="P5" s="658"/>
      <c r="Q5" s="658"/>
      <c r="R5" s="659"/>
      <c r="S5" s="660"/>
      <c r="U5" s="476"/>
      <c r="V5" s="766" t="s">
        <v>302</v>
      </c>
      <c r="W5" s="767"/>
      <c r="X5" s="767"/>
      <c r="Y5" s="767"/>
      <c r="Z5" s="767"/>
      <c r="AA5" s="768" t="s">
        <v>305</v>
      </c>
      <c r="AB5" s="630"/>
    </row>
    <row r="6" spans="2:28" s="476" customFormat="1" ht="46.95" customHeight="1" x14ac:dyDescent="0.35">
      <c r="B6" s="664"/>
      <c r="C6" s="493"/>
      <c r="D6" s="582" t="s">
        <v>771</v>
      </c>
      <c r="E6" s="590"/>
      <c r="F6" s="590"/>
      <c r="G6" s="590"/>
      <c r="H6" s="591"/>
      <c r="I6" s="591"/>
      <c r="J6" s="591"/>
      <c r="K6" s="591"/>
      <c r="L6" s="591"/>
      <c r="M6" s="591"/>
      <c r="N6" s="1364" t="s">
        <v>308</v>
      </c>
      <c r="O6" s="592"/>
      <c r="P6" s="593"/>
      <c r="Q6" s="593"/>
      <c r="R6" s="594"/>
      <c r="S6" s="595"/>
      <c r="V6" s="769" t="s">
        <v>303</v>
      </c>
      <c r="Z6" s="770"/>
      <c r="AA6" s="771">
        <v>151892.04</v>
      </c>
    </row>
    <row r="7" spans="2:28" s="476" customFormat="1" ht="15" customHeight="1" x14ac:dyDescent="0.3">
      <c r="B7" s="627"/>
      <c r="C7" s="596"/>
      <c r="D7" s="597"/>
      <c r="E7" s="598"/>
      <c r="F7" s="598"/>
      <c r="G7" s="598"/>
      <c r="H7" s="599"/>
      <c r="I7" s="599"/>
      <c r="J7" s="599"/>
      <c r="K7" s="599"/>
      <c r="L7" s="599"/>
      <c r="M7" s="599"/>
      <c r="N7" s="1364"/>
      <c r="O7" s="592"/>
      <c r="P7" s="600"/>
      <c r="Q7" s="600"/>
      <c r="R7" s="601"/>
      <c r="S7" s="602"/>
      <c r="V7" s="769"/>
      <c r="Z7" s="770"/>
      <c r="AA7" s="771"/>
    </row>
    <row r="8" spans="2:28" s="476" customFormat="1" ht="23.7" customHeight="1" x14ac:dyDescent="0.3">
      <c r="B8" s="627"/>
      <c r="C8" s="501"/>
      <c r="D8" s="584"/>
      <c r="E8" s="503"/>
      <c r="F8" s="583"/>
      <c r="G8" s="504"/>
      <c r="H8" s="505" t="s">
        <v>210</v>
      </c>
      <c r="I8" s="505" t="s">
        <v>227</v>
      </c>
      <c r="J8" s="505" t="s">
        <v>228</v>
      </c>
      <c r="K8" s="505" t="s">
        <v>229</v>
      </c>
      <c r="L8" s="505" t="s">
        <v>230</v>
      </c>
      <c r="M8" s="505"/>
      <c r="N8" s="1365"/>
      <c r="O8" s="603"/>
      <c r="P8" s="1377" t="s">
        <v>326</v>
      </c>
      <c r="Q8" s="1377"/>
      <c r="R8" s="1377"/>
      <c r="S8" s="663"/>
      <c r="V8" s="772" t="s">
        <v>304</v>
      </c>
      <c r="W8" s="773"/>
      <c r="X8" s="773"/>
      <c r="Y8" s="774"/>
      <c r="Z8" s="775"/>
      <c r="AA8" s="776">
        <v>81000</v>
      </c>
      <c r="AB8" s="630"/>
    </row>
    <row r="9" spans="2:28" s="627" customFormat="1" ht="23.7" customHeight="1" x14ac:dyDescent="0.3">
      <c r="C9" s="1136"/>
      <c r="D9" s="1137" t="s">
        <v>767</v>
      </c>
      <c r="E9" s="1138"/>
      <c r="F9" s="1139"/>
      <c r="G9" s="1140"/>
      <c r="H9" s="1141"/>
      <c r="I9" s="1141"/>
      <c r="J9" s="1141"/>
      <c r="K9" s="1141"/>
      <c r="L9" s="1141"/>
      <c r="M9" s="1142"/>
      <c r="N9" s="1142"/>
      <c r="O9" s="1142"/>
      <c r="P9" s="797"/>
      <c r="Q9" s="616"/>
      <c r="R9" s="636"/>
      <c r="S9" s="637"/>
      <c r="T9" s="671"/>
      <c r="U9" s="476"/>
      <c r="V9" s="476"/>
      <c r="W9" s="476"/>
      <c r="X9" s="476"/>
      <c r="Y9" s="476"/>
      <c r="Z9" s="476"/>
      <c r="AA9" s="476"/>
      <c r="AB9" s="476"/>
    </row>
    <row r="10" spans="2:28" s="476" customFormat="1" ht="23.7" customHeight="1" x14ac:dyDescent="0.3">
      <c r="B10" s="627"/>
      <c r="C10" s="612"/>
      <c r="D10" s="619"/>
      <c r="E10" s="861" t="s">
        <v>300</v>
      </c>
      <c r="F10" s="786"/>
      <c r="G10" s="787"/>
      <c r="H10" s="788">
        <f>SUM(H11:H16)</f>
        <v>2343100</v>
      </c>
      <c r="I10" s="788">
        <f>SUM(I11:I16)</f>
        <v>0</v>
      </c>
      <c r="J10" s="788">
        <f>SUM(J11:J16)</f>
        <v>0</v>
      </c>
      <c r="K10" s="788">
        <f>SUM(K11:K16)</f>
        <v>0</v>
      </c>
      <c r="L10" s="788">
        <f>SUM(L11:L16)</f>
        <v>0</v>
      </c>
      <c r="M10" s="789"/>
      <c r="N10" s="666">
        <f>SUM(H10:L10)</f>
        <v>2343100</v>
      </c>
      <c r="O10" s="623"/>
      <c r="P10" s="883">
        <v>1168561</v>
      </c>
      <c r="Q10" s="867" t="s">
        <v>301</v>
      </c>
      <c r="R10" s="871"/>
      <c r="S10" s="637"/>
      <c r="V10" s="673" t="s">
        <v>300</v>
      </c>
    </row>
    <row r="11" spans="2:28" s="630" customFormat="1" ht="23.7" customHeight="1" x14ac:dyDescent="0.3">
      <c r="B11" s="667"/>
      <c r="C11" s="779"/>
      <c r="D11" s="778"/>
      <c r="E11" s="859" t="s">
        <v>293</v>
      </c>
      <c r="F11" s="781"/>
      <c r="G11" s="782"/>
      <c r="H11" s="783">
        <v>0</v>
      </c>
      <c r="I11" s="783">
        <v>0</v>
      </c>
      <c r="J11" s="783">
        <v>0</v>
      </c>
      <c r="K11" s="783">
        <v>0</v>
      </c>
      <c r="L11" s="783">
        <v>0</v>
      </c>
      <c r="M11" s="681"/>
      <c r="N11" s="784"/>
      <c r="O11" s="680"/>
      <c r="P11" s="876">
        <f>AA6*'T2-4 A1 TTD LL Costs'!Z129^2</f>
        <v>0</v>
      </c>
      <c r="Q11" s="874" t="s">
        <v>324</v>
      </c>
      <c r="R11" s="877"/>
      <c r="S11" s="785"/>
      <c r="T11" s="476"/>
      <c r="U11" s="777"/>
      <c r="V11" s="777">
        <v>0</v>
      </c>
      <c r="W11" s="780" t="s">
        <v>293</v>
      </c>
      <c r="X11" s="777"/>
      <c r="Y11" s="777"/>
      <c r="Z11" s="777"/>
      <c r="AA11" s="777"/>
      <c r="AB11" s="777"/>
    </row>
    <row r="12" spans="2:28" s="476" customFormat="1" ht="30" customHeight="1" x14ac:dyDescent="0.3">
      <c r="B12" s="668"/>
      <c r="C12" s="779"/>
      <c r="D12" s="778"/>
      <c r="E12" s="859" t="s">
        <v>295</v>
      </c>
      <c r="F12" s="781"/>
      <c r="G12" s="782"/>
      <c r="H12" s="783">
        <f>ROUND(V12*P10,-2)</f>
        <v>2337100</v>
      </c>
      <c r="I12" s="783">
        <v>0</v>
      </c>
      <c r="J12" s="783">
        <v>0</v>
      </c>
      <c r="K12" s="783">
        <v>0</v>
      </c>
      <c r="L12" s="783">
        <v>0</v>
      </c>
      <c r="M12" s="681"/>
      <c r="N12" s="784"/>
      <c r="O12" s="680"/>
      <c r="P12" s="876">
        <f>AA8*'T2-4 A1 TTD LL Costs'!Z129^2</f>
        <v>0</v>
      </c>
      <c r="Q12" s="874" t="s">
        <v>325</v>
      </c>
      <c r="R12" s="877"/>
      <c r="S12" s="785"/>
      <c r="U12" s="777"/>
      <c r="V12" s="777">
        <v>2</v>
      </c>
      <c r="W12" s="780" t="s">
        <v>295</v>
      </c>
      <c r="X12" s="777"/>
      <c r="Y12" s="777"/>
      <c r="Z12" s="777"/>
      <c r="AA12" s="777"/>
      <c r="AB12" s="777"/>
    </row>
    <row r="13" spans="2:28" s="476" customFormat="1" ht="23.7" customHeight="1" x14ac:dyDescent="0.3">
      <c r="B13" s="669"/>
      <c r="C13" s="779"/>
      <c r="D13" s="778"/>
      <c r="E13" s="859" t="s">
        <v>296</v>
      </c>
      <c r="F13" s="781"/>
      <c r="G13" s="782"/>
      <c r="H13" s="783">
        <v>0</v>
      </c>
      <c r="I13" s="783">
        <f>ROUND(V13*P11*P1,-2)</f>
        <v>0</v>
      </c>
      <c r="J13" s="783">
        <v>0</v>
      </c>
      <c r="K13" s="783">
        <v>0</v>
      </c>
      <c r="L13" s="783">
        <v>0</v>
      </c>
      <c r="M13" s="681"/>
      <c r="N13" s="784"/>
      <c r="O13" s="680"/>
      <c r="P13" s="878"/>
      <c r="Q13" s="875"/>
      <c r="R13" s="877"/>
      <c r="S13" s="785"/>
      <c r="U13" s="777"/>
      <c r="V13" s="777">
        <v>6</v>
      </c>
      <c r="W13" s="780" t="s">
        <v>296</v>
      </c>
      <c r="X13" s="777"/>
      <c r="Y13" s="777"/>
      <c r="Z13" s="777"/>
      <c r="AA13" s="777"/>
      <c r="AB13" s="777"/>
    </row>
    <row r="14" spans="2:28" s="630" customFormat="1" ht="21.75" customHeight="1" x14ac:dyDescent="0.3">
      <c r="B14" s="671"/>
      <c r="C14" s="779"/>
      <c r="D14" s="778"/>
      <c r="E14" s="859" t="s">
        <v>297</v>
      </c>
      <c r="F14" s="781"/>
      <c r="G14" s="782"/>
      <c r="H14" s="783">
        <v>6000</v>
      </c>
      <c r="I14" s="783">
        <f>ROUND(V14*P12,-2)</f>
        <v>0</v>
      </c>
      <c r="J14" s="783">
        <v>0</v>
      </c>
      <c r="K14" s="783">
        <v>0</v>
      </c>
      <c r="L14" s="783">
        <v>0</v>
      </c>
      <c r="M14" s="681"/>
      <c r="N14" s="784"/>
      <c r="O14" s="680"/>
      <c r="P14" s="878"/>
      <c r="Q14" s="875"/>
      <c r="R14" s="877"/>
      <c r="S14" s="785"/>
      <c r="T14" s="476"/>
      <c r="U14" s="777"/>
      <c r="V14" s="777">
        <v>0</v>
      </c>
      <c r="W14" s="780" t="s">
        <v>297</v>
      </c>
      <c r="X14" s="777"/>
      <c r="Y14" s="777"/>
      <c r="Z14" s="777"/>
      <c r="AA14" s="777"/>
      <c r="AB14" s="777"/>
    </row>
    <row r="15" spans="2:28" s="476" customFormat="1" ht="20.25" customHeight="1" x14ac:dyDescent="0.3">
      <c r="B15" s="627"/>
      <c r="C15" s="779"/>
      <c r="D15" s="778"/>
      <c r="E15" s="859" t="s">
        <v>298</v>
      </c>
      <c r="F15" s="781"/>
      <c r="G15" s="782"/>
      <c r="H15" s="783">
        <v>0</v>
      </c>
      <c r="I15" s="783">
        <v>0</v>
      </c>
      <c r="J15" s="783">
        <v>0</v>
      </c>
      <c r="K15" s="783">
        <v>0</v>
      </c>
      <c r="L15" s="783">
        <v>0</v>
      </c>
      <c r="M15" s="681"/>
      <c r="N15" s="784"/>
      <c r="O15" s="680"/>
      <c r="P15" s="878"/>
      <c r="Q15" s="875"/>
      <c r="R15" s="877"/>
      <c r="S15" s="785"/>
      <c r="U15" s="777"/>
      <c r="V15" s="777">
        <v>0</v>
      </c>
      <c r="W15" s="780" t="s">
        <v>298</v>
      </c>
      <c r="X15" s="777"/>
      <c r="Y15" s="777"/>
      <c r="Z15" s="777"/>
      <c r="AA15" s="777"/>
      <c r="AB15" s="777"/>
    </row>
    <row r="16" spans="2:28" s="476" customFormat="1" ht="23.7" customHeight="1" x14ac:dyDescent="0.3">
      <c r="B16" s="627"/>
      <c r="C16" s="779"/>
      <c r="D16" s="778"/>
      <c r="E16" s="860" t="s">
        <v>299</v>
      </c>
      <c r="F16" s="781"/>
      <c r="G16" s="782"/>
      <c r="H16" s="783">
        <v>0</v>
      </c>
      <c r="I16" s="783">
        <v>0</v>
      </c>
      <c r="J16" s="783">
        <v>0</v>
      </c>
      <c r="K16" s="783">
        <v>0</v>
      </c>
      <c r="L16" s="783">
        <v>0</v>
      </c>
      <c r="M16" s="681"/>
      <c r="N16" s="784"/>
      <c r="O16" s="680"/>
      <c r="P16" s="879"/>
      <c r="Q16" s="880"/>
      <c r="R16" s="881"/>
      <c r="S16" s="785"/>
      <c r="U16" s="777"/>
      <c r="V16" s="777">
        <v>0</v>
      </c>
      <c r="W16" s="780" t="s">
        <v>299</v>
      </c>
      <c r="X16" s="777"/>
      <c r="Y16" s="777"/>
      <c r="Z16" s="777"/>
      <c r="AA16" s="777"/>
      <c r="AB16" s="777"/>
    </row>
    <row r="17" spans="2:28" s="476" customFormat="1" ht="23.7" customHeight="1" x14ac:dyDescent="0.3">
      <c r="B17" s="627"/>
      <c r="C17" s="779"/>
      <c r="D17" s="778"/>
      <c r="E17" s="860" t="s">
        <v>739</v>
      </c>
      <c r="F17" s="781"/>
      <c r="G17" s="782"/>
      <c r="H17" s="783">
        <v>0</v>
      </c>
      <c r="I17" s="783">
        <v>0</v>
      </c>
      <c r="J17" s="783">
        <v>0</v>
      </c>
      <c r="K17" s="783">
        <v>0</v>
      </c>
      <c r="L17" s="783">
        <v>0</v>
      </c>
      <c r="M17" s="681"/>
      <c r="N17" s="784"/>
      <c r="O17" s="680"/>
      <c r="P17" s="878"/>
      <c r="Q17" s="875"/>
      <c r="R17" s="877"/>
      <c r="S17" s="785"/>
      <c r="U17" s="777"/>
      <c r="V17" s="777"/>
      <c r="W17" s="780"/>
      <c r="X17" s="777"/>
      <c r="Y17" s="777"/>
      <c r="Z17" s="777"/>
      <c r="AA17" s="777"/>
      <c r="AB17" s="777"/>
    </row>
    <row r="18" spans="2:28" s="676" customFormat="1" ht="23.7" customHeight="1" x14ac:dyDescent="0.3">
      <c r="B18" s="616"/>
      <c r="C18" s="674"/>
      <c r="D18" s="616"/>
      <c r="E18" s="861" t="s">
        <v>306</v>
      </c>
      <c r="F18" s="790"/>
      <c r="G18" s="791"/>
      <c r="H18" s="788">
        <f>SUM(H19:H24)</f>
        <v>0</v>
      </c>
      <c r="I18" s="788">
        <f>SUM(I19:I24)</f>
        <v>64900</v>
      </c>
      <c r="J18" s="788">
        <f>SUM(J19:J24)</f>
        <v>28600</v>
      </c>
      <c r="K18" s="788">
        <f>SUM(K19:K24)</f>
        <v>0</v>
      </c>
      <c r="L18" s="788">
        <f>SUM(L19:L24)</f>
        <v>0</v>
      </c>
      <c r="M18" s="792"/>
      <c r="N18" s="666">
        <f>SUM(H18:L18)</f>
        <v>93500</v>
      </c>
      <c r="O18" s="622"/>
      <c r="P18" s="884">
        <v>9000</v>
      </c>
      <c r="Q18" s="885" t="s">
        <v>332</v>
      </c>
      <c r="R18" s="882"/>
      <c r="S18" s="675"/>
      <c r="T18" s="476"/>
      <c r="U18" s="362"/>
      <c r="V18" s="861" t="s">
        <v>306</v>
      </c>
      <c r="W18" s="362"/>
      <c r="X18" s="362"/>
      <c r="AB18" s="476"/>
    </row>
    <row r="19" spans="2:28" s="476" customFormat="1" ht="27" customHeight="1" x14ac:dyDescent="0.3">
      <c r="B19" s="627"/>
      <c r="C19" s="779"/>
      <c r="D19" s="778"/>
      <c r="E19" s="859" t="s">
        <v>293</v>
      </c>
      <c r="F19" s="781"/>
      <c r="G19" s="782"/>
      <c r="H19" s="783">
        <v>0</v>
      </c>
      <c r="I19" s="783">
        <v>0</v>
      </c>
      <c r="J19" s="783">
        <v>0</v>
      </c>
      <c r="K19" s="783">
        <v>0</v>
      </c>
      <c r="L19" s="783">
        <v>0</v>
      </c>
      <c r="M19" s="681"/>
      <c r="N19" s="784"/>
      <c r="O19" s="680"/>
      <c r="P19" s="886"/>
      <c r="Q19" s="627"/>
      <c r="R19" s="877"/>
      <c r="S19" s="785"/>
      <c r="U19" s="777"/>
      <c r="V19" s="777">
        <v>0</v>
      </c>
      <c r="W19" s="780" t="s">
        <v>293</v>
      </c>
      <c r="X19" s="777"/>
      <c r="Y19" s="777"/>
      <c r="Z19" s="777"/>
      <c r="AA19" s="777"/>
      <c r="AB19" s="777"/>
    </row>
    <row r="20" spans="2:28" s="476" customFormat="1" ht="24" customHeight="1" x14ac:dyDescent="0.3">
      <c r="B20" s="627"/>
      <c r="C20" s="779"/>
      <c r="D20" s="778"/>
      <c r="E20" s="859" t="s">
        <v>295</v>
      </c>
      <c r="F20" s="781"/>
      <c r="G20" s="782"/>
      <c r="H20" s="783">
        <v>0</v>
      </c>
      <c r="I20" s="783">
        <v>0</v>
      </c>
      <c r="J20" s="1336">
        <f>ROUND(V20*P18*(P1^2),-2)</f>
        <v>28600</v>
      </c>
      <c r="K20" s="783">
        <v>0</v>
      </c>
      <c r="L20" s="783">
        <v>0</v>
      </c>
      <c r="M20" s="681"/>
      <c r="N20" s="784"/>
      <c r="O20" s="680"/>
      <c r="P20" s="876"/>
      <c r="Q20" s="875"/>
      <c r="R20" s="877"/>
      <c r="S20" s="785"/>
      <c r="T20" s="777"/>
      <c r="U20" s="777"/>
      <c r="V20" s="777">
        <v>3</v>
      </c>
      <c r="W20" s="780" t="s">
        <v>295</v>
      </c>
      <c r="X20" s="777"/>
      <c r="Y20" s="777"/>
      <c r="Z20" s="777"/>
      <c r="AA20" s="777"/>
      <c r="AB20" s="777"/>
    </row>
    <row r="21" spans="2:28" s="777" customFormat="1" ht="24" customHeight="1" x14ac:dyDescent="0.3">
      <c r="B21" s="778"/>
      <c r="C21" s="779"/>
      <c r="D21" s="778"/>
      <c r="E21" s="859" t="s">
        <v>296</v>
      </c>
      <c r="F21" s="781"/>
      <c r="G21" s="782"/>
      <c r="H21" s="783">
        <v>0</v>
      </c>
      <c r="I21" s="783">
        <f>ROUND(V21*P18*P1,-2)</f>
        <v>64900</v>
      </c>
      <c r="J21" s="783">
        <v>0</v>
      </c>
      <c r="K21" s="783">
        <v>0</v>
      </c>
      <c r="L21" s="783">
        <v>0</v>
      </c>
      <c r="M21" s="681"/>
      <c r="N21" s="784"/>
      <c r="O21" s="680"/>
      <c r="P21" s="878"/>
      <c r="Q21" s="875"/>
      <c r="R21" s="877"/>
      <c r="S21" s="785"/>
      <c r="V21" s="777">
        <v>7</v>
      </c>
      <c r="W21" s="780" t="s">
        <v>296</v>
      </c>
    </row>
    <row r="22" spans="2:28" s="777" customFormat="1" ht="24" customHeight="1" x14ac:dyDescent="0.3">
      <c r="B22" s="778"/>
      <c r="C22" s="779"/>
      <c r="D22" s="778"/>
      <c r="E22" s="859" t="s">
        <v>297</v>
      </c>
      <c r="F22" s="781"/>
      <c r="G22" s="782"/>
      <c r="H22" s="783">
        <v>0</v>
      </c>
      <c r="I22" s="783">
        <v>0</v>
      </c>
      <c r="J22" s="783">
        <v>0</v>
      </c>
      <c r="K22" s="783">
        <v>0</v>
      </c>
      <c r="L22" s="783">
        <v>0</v>
      </c>
      <c r="M22" s="681"/>
      <c r="N22" s="784"/>
      <c r="O22" s="680"/>
      <c r="P22" s="878"/>
      <c r="Q22" s="875"/>
      <c r="R22" s="877"/>
      <c r="S22" s="785"/>
      <c r="V22" s="777">
        <v>1</v>
      </c>
      <c r="W22" s="780" t="s">
        <v>297</v>
      </c>
    </row>
    <row r="23" spans="2:28" s="777" customFormat="1" ht="24" customHeight="1" x14ac:dyDescent="0.3">
      <c r="B23" s="778"/>
      <c r="C23" s="779"/>
      <c r="D23" s="778"/>
      <c r="E23" s="859" t="s">
        <v>298</v>
      </c>
      <c r="F23" s="781"/>
      <c r="G23" s="782"/>
      <c r="H23" s="783">
        <v>0</v>
      </c>
      <c r="I23" s="783">
        <v>0</v>
      </c>
      <c r="J23" s="783">
        <v>0</v>
      </c>
      <c r="K23" s="783">
        <v>0</v>
      </c>
      <c r="L23" s="783">
        <v>0</v>
      </c>
      <c r="M23" s="681"/>
      <c r="N23" s="784"/>
      <c r="O23" s="680"/>
      <c r="P23" s="878"/>
      <c r="Q23" s="875"/>
      <c r="R23" s="877"/>
      <c r="S23" s="785"/>
      <c r="V23" s="777">
        <v>0</v>
      </c>
      <c r="W23" s="780" t="s">
        <v>298</v>
      </c>
    </row>
    <row r="24" spans="2:28" s="777" customFormat="1" ht="24" customHeight="1" x14ac:dyDescent="0.3">
      <c r="B24" s="778"/>
      <c r="C24" s="779"/>
      <c r="D24" s="778"/>
      <c r="E24" s="860" t="s">
        <v>299</v>
      </c>
      <c r="F24" s="781"/>
      <c r="G24" s="782"/>
      <c r="H24" s="783">
        <v>0</v>
      </c>
      <c r="I24" s="783">
        <v>0</v>
      </c>
      <c r="J24" s="783">
        <v>0</v>
      </c>
      <c r="K24" s="783">
        <v>0</v>
      </c>
      <c r="L24" s="783">
        <v>0</v>
      </c>
      <c r="M24" s="681"/>
      <c r="N24" s="784"/>
      <c r="O24" s="680"/>
      <c r="P24" s="879"/>
      <c r="Q24" s="880"/>
      <c r="R24" s="881"/>
      <c r="S24" s="785"/>
      <c r="V24" s="777">
        <v>0</v>
      </c>
      <c r="W24" s="780" t="s">
        <v>299</v>
      </c>
    </row>
    <row r="25" spans="2:28" s="476" customFormat="1" ht="23.7" customHeight="1" x14ac:dyDescent="0.3">
      <c r="B25" s="627"/>
      <c r="C25" s="779"/>
      <c r="D25" s="778"/>
      <c r="E25" s="860" t="s">
        <v>739</v>
      </c>
      <c r="F25" s="781"/>
      <c r="G25" s="782"/>
      <c r="H25" s="783">
        <v>0</v>
      </c>
      <c r="I25" s="783">
        <v>0</v>
      </c>
      <c r="J25" s="783">
        <v>0</v>
      </c>
      <c r="K25" s="783">
        <v>0</v>
      </c>
      <c r="L25" s="783">
        <v>0</v>
      </c>
      <c r="M25" s="681"/>
      <c r="N25" s="784"/>
      <c r="O25" s="680"/>
      <c r="P25" s="878"/>
      <c r="Q25" s="875"/>
      <c r="R25" s="877"/>
      <c r="S25" s="785"/>
      <c r="U25" s="777"/>
      <c r="V25" s="777"/>
      <c r="W25" s="780"/>
      <c r="X25" s="777"/>
      <c r="Y25" s="777"/>
      <c r="Z25" s="777"/>
      <c r="AA25" s="777"/>
      <c r="AB25" s="777"/>
    </row>
    <row r="26" spans="2:28" s="777" customFormat="1" ht="24" customHeight="1" x14ac:dyDescent="0.3">
      <c r="B26" s="778"/>
      <c r="C26" s="674"/>
      <c r="D26" s="616"/>
      <c r="E26" s="861" t="s">
        <v>266</v>
      </c>
      <c r="F26" s="790"/>
      <c r="G26" s="791"/>
      <c r="H26" s="788">
        <f>SUM(H27:H32)</f>
        <v>0</v>
      </c>
      <c r="I26" s="788">
        <f>SUM(I27:I32)</f>
        <v>370800</v>
      </c>
      <c r="J26" s="788">
        <f>SUM(J27:J32)</f>
        <v>31800</v>
      </c>
      <c r="K26" s="788">
        <f>SUM(K27:K32)</f>
        <v>0</v>
      </c>
      <c r="L26" s="788">
        <f>SUM(L27:L32)</f>
        <v>0</v>
      </c>
      <c r="M26" s="792"/>
      <c r="N26" s="666">
        <f>SUM(H26:L26)</f>
        <v>402600</v>
      </c>
      <c r="O26" s="622"/>
      <c r="P26" s="884">
        <v>15000</v>
      </c>
      <c r="Q26" s="885" t="s">
        <v>330</v>
      </c>
      <c r="R26" s="887"/>
      <c r="S26" s="675"/>
      <c r="U26" s="362"/>
      <c r="V26" s="861" t="s">
        <v>266</v>
      </c>
      <c r="W26" s="362"/>
      <c r="X26" s="362"/>
      <c r="Y26" s="676"/>
      <c r="Z26" s="676"/>
      <c r="AA26" s="676"/>
      <c r="AB26" s="476"/>
    </row>
    <row r="27" spans="2:28" s="777" customFormat="1" ht="24" customHeight="1" x14ac:dyDescent="0.3">
      <c r="B27" s="778"/>
      <c r="C27" s="779"/>
      <c r="D27" s="778"/>
      <c r="E27" s="859" t="s">
        <v>293</v>
      </c>
      <c r="F27" s="781"/>
      <c r="G27" s="782"/>
      <c r="H27" s="783">
        <v>0</v>
      </c>
      <c r="I27" s="783">
        <f>ROUND(V27*P26*P1,-2)</f>
        <v>185400</v>
      </c>
      <c r="J27" s="783">
        <v>0</v>
      </c>
      <c r="K27" s="783">
        <v>0</v>
      </c>
      <c r="L27" s="783">
        <v>0</v>
      </c>
      <c r="M27" s="681"/>
      <c r="N27" s="784"/>
      <c r="O27" s="680"/>
      <c r="P27" s="876">
        <v>100000</v>
      </c>
      <c r="Q27" s="874" t="s">
        <v>331</v>
      </c>
      <c r="R27" s="877"/>
      <c r="S27" s="785"/>
      <c r="T27" s="362"/>
      <c r="V27" s="777">
        <v>12</v>
      </c>
      <c r="W27" s="780" t="s">
        <v>293</v>
      </c>
    </row>
    <row r="28" spans="2:28" s="476" customFormat="1" ht="22.5" customHeight="1" x14ac:dyDescent="0.3">
      <c r="B28" s="627"/>
      <c r="C28" s="779"/>
      <c r="D28" s="778"/>
      <c r="E28" s="859" t="s">
        <v>295</v>
      </c>
      <c r="F28" s="781"/>
      <c r="G28" s="782"/>
      <c r="H28" s="783">
        <v>0</v>
      </c>
      <c r="I28" s="783">
        <v>0</v>
      </c>
      <c r="J28" s="783">
        <f>ROUND(V28*P26*(P1^2),-2)</f>
        <v>31800</v>
      </c>
      <c r="K28" s="783">
        <v>0</v>
      </c>
      <c r="L28" s="783">
        <v>0</v>
      </c>
      <c r="M28" s="681"/>
      <c r="N28" s="784"/>
      <c r="O28" s="680"/>
      <c r="P28" s="886"/>
      <c r="Q28" s="627"/>
      <c r="R28" s="888"/>
      <c r="S28" s="785"/>
      <c r="T28" s="777"/>
      <c r="U28" s="777"/>
      <c r="V28" s="777">
        <v>2</v>
      </c>
      <c r="W28" s="780" t="s">
        <v>295</v>
      </c>
      <c r="X28" s="777"/>
      <c r="Y28" s="777"/>
      <c r="Z28" s="777"/>
      <c r="AA28" s="777"/>
      <c r="AB28" s="777"/>
    </row>
    <row r="29" spans="2:28" s="777" customFormat="1" ht="24" customHeight="1" x14ac:dyDescent="0.3">
      <c r="B29" s="778"/>
      <c r="C29" s="779"/>
      <c r="D29" s="778"/>
      <c r="E29" s="859" t="s">
        <v>296</v>
      </c>
      <c r="F29" s="781"/>
      <c r="G29" s="782"/>
      <c r="H29" s="783">
        <v>0</v>
      </c>
      <c r="I29" s="783">
        <f>V29*P26*P1</f>
        <v>185400</v>
      </c>
      <c r="J29" s="783">
        <v>0</v>
      </c>
      <c r="K29" s="783">
        <v>0</v>
      </c>
      <c r="L29" s="783">
        <v>0</v>
      </c>
      <c r="M29" s="681"/>
      <c r="N29" s="784"/>
      <c r="O29" s="680"/>
      <c r="P29" s="878"/>
      <c r="Q29" s="875"/>
      <c r="R29" s="877"/>
      <c r="S29" s="785"/>
      <c r="V29" s="777">
        <v>12</v>
      </c>
      <c r="W29" s="780" t="s">
        <v>296</v>
      </c>
    </row>
    <row r="30" spans="2:28" s="777" customFormat="1" ht="24" customHeight="1" x14ac:dyDescent="0.3">
      <c r="B30" s="778"/>
      <c r="C30" s="779"/>
      <c r="D30" s="778"/>
      <c r="E30" s="859" t="s">
        <v>297</v>
      </c>
      <c r="F30" s="781"/>
      <c r="G30" s="782"/>
      <c r="H30" s="783">
        <f>V30*P27</f>
        <v>0</v>
      </c>
      <c r="I30" s="783">
        <v>0</v>
      </c>
      <c r="J30" s="783">
        <v>0</v>
      </c>
      <c r="K30" s="783">
        <v>0</v>
      </c>
      <c r="L30" s="783">
        <v>0</v>
      </c>
      <c r="M30" s="681"/>
      <c r="N30" s="784"/>
      <c r="O30" s="680"/>
      <c r="P30" s="878"/>
      <c r="Q30" s="875"/>
      <c r="R30" s="877"/>
      <c r="S30" s="785"/>
      <c r="V30" s="777">
        <v>0</v>
      </c>
      <c r="W30" s="780" t="s">
        <v>297</v>
      </c>
    </row>
    <row r="31" spans="2:28" s="777" customFormat="1" ht="24" customHeight="1" x14ac:dyDescent="0.3">
      <c r="B31" s="778"/>
      <c r="C31" s="779"/>
      <c r="D31" s="778"/>
      <c r="E31" s="859" t="s">
        <v>298</v>
      </c>
      <c r="F31" s="781"/>
      <c r="G31" s="782"/>
      <c r="H31" s="783">
        <v>0</v>
      </c>
      <c r="I31" s="783">
        <v>0</v>
      </c>
      <c r="J31" s="783">
        <v>0</v>
      </c>
      <c r="K31" s="783">
        <v>0</v>
      </c>
      <c r="L31" s="783">
        <v>0</v>
      </c>
      <c r="M31" s="681"/>
      <c r="N31" s="784"/>
      <c r="O31" s="680"/>
      <c r="P31" s="878"/>
      <c r="Q31" s="875"/>
      <c r="R31" s="877"/>
      <c r="S31" s="785"/>
      <c r="V31" s="777">
        <v>0</v>
      </c>
      <c r="W31" s="780" t="s">
        <v>298</v>
      </c>
    </row>
    <row r="32" spans="2:28" s="777" customFormat="1" ht="24" customHeight="1" x14ac:dyDescent="0.3">
      <c r="B32" s="778"/>
      <c r="C32" s="779"/>
      <c r="D32" s="778"/>
      <c r="E32" s="859" t="s">
        <v>299</v>
      </c>
      <c r="F32" s="781"/>
      <c r="G32" s="782"/>
      <c r="H32" s="783">
        <v>0</v>
      </c>
      <c r="I32" s="783">
        <v>0</v>
      </c>
      <c r="J32" s="783">
        <v>0</v>
      </c>
      <c r="K32" s="783">
        <v>0</v>
      </c>
      <c r="L32" s="783">
        <v>0</v>
      </c>
      <c r="M32" s="681"/>
      <c r="N32" s="784"/>
      <c r="O32" s="680"/>
      <c r="P32" s="879"/>
      <c r="Q32" s="880"/>
      <c r="R32" s="881"/>
      <c r="S32" s="785"/>
      <c r="V32" s="777">
        <v>0</v>
      </c>
      <c r="W32" s="780" t="s">
        <v>299</v>
      </c>
    </row>
    <row r="33" spans="1:34" s="476" customFormat="1" ht="23.7" customHeight="1" x14ac:dyDescent="0.3">
      <c r="B33" s="627"/>
      <c r="C33" s="779"/>
      <c r="D33" s="778"/>
      <c r="E33" s="860" t="s">
        <v>739</v>
      </c>
      <c r="F33" s="781"/>
      <c r="G33" s="782"/>
      <c r="H33" s="783">
        <v>0</v>
      </c>
      <c r="I33" s="783">
        <v>0</v>
      </c>
      <c r="J33" s="783">
        <v>0</v>
      </c>
      <c r="K33" s="783">
        <v>0</v>
      </c>
      <c r="L33" s="783">
        <v>0</v>
      </c>
      <c r="M33" s="681"/>
      <c r="N33" s="784"/>
      <c r="O33" s="680"/>
      <c r="P33" s="878"/>
      <c r="Q33" s="875"/>
      <c r="R33" s="877"/>
      <c r="S33" s="785"/>
      <c r="U33" s="777"/>
      <c r="V33" s="777"/>
      <c r="W33" s="780"/>
      <c r="X33" s="777"/>
      <c r="Y33" s="777"/>
      <c r="Z33" s="777"/>
      <c r="AA33" s="777"/>
      <c r="AB33" s="777"/>
    </row>
    <row r="34" spans="1:34" s="777" customFormat="1" ht="24" customHeight="1" x14ac:dyDescent="0.3">
      <c r="B34" s="778"/>
      <c r="C34" s="612"/>
      <c r="D34" s="619"/>
      <c r="E34" s="862" t="s">
        <v>307</v>
      </c>
      <c r="F34" s="793"/>
      <c r="G34" s="793"/>
      <c r="H34" s="788">
        <f>SUM(H35:H40)</f>
        <v>0</v>
      </c>
      <c r="I34" s="788">
        <f>SUM(I35:I40)</f>
        <v>3696500</v>
      </c>
      <c r="J34" s="788">
        <f>SUM(J35:J40)</f>
        <v>0</v>
      </c>
      <c r="K34" s="788">
        <f>SUM(K35:K40)</f>
        <v>0</v>
      </c>
      <c r="L34" s="788">
        <f>SUM(L35:L40)</f>
        <v>0</v>
      </c>
      <c r="M34" s="794"/>
      <c r="N34" s="666">
        <f>SUM(H34:L34)</f>
        <v>3696500</v>
      </c>
      <c r="O34" s="641"/>
      <c r="P34" s="884">
        <f>ROUNDUP(T35*1.04^8,-3)</f>
        <v>405000</v>
      </c>
      <c r="Q34" s="885" t="s">
        <v>328</v>
      </c>
      <c r="R34" s="887"/>
      <c r="S34" s="637"/>
      <c r="T34" s="777" t="s">
        <v>311</v>
      </c>
      <c r="U34" s="627"/>
      <c r="V34" s="862" t="s">
        <v>307</v>
      </c>
      <c r="W34" s="627"/>
      <c r="X34" s="627"/>
      <c r="Y34" s="476"/>
      <c r="Z34" s="476"/>
      <c r="AA34" s="476"/>
      <c r="AB34" s="476"/>
    </row>
    <row r="35" spans="1:34" s="777" customFormat="1" ht="24" customHeight="1" x14ac:dyDescent="0.3">
      <c r="B35" s="778"/>
      <c r="C35" s="779"/>
      <c r="D35" s="778"/>
      <c r="E35" s="859" t="s">
        <v>293</v>
      </c>
      <c r="F35" s="781"/>
      <c r="G35" s="782"/>
      <c r="H35" s="783">
        <v>0</v>
      </c>
      <c r="I35" s="783">
        <v>0</v>
      </c>
      <c r="J35" s="783">
        <v>0</v>
      </c>
      <c r="K35" s="783">
        <v>0</v>
      </c>
      <c r="L35" s="783">
        <v>0</v>
      </c>
      <c r="M35" s="681"/>
      <c r="N35" s="784"/>
      <c r="O35" s="680"/>
      <c r="P35" s="876">
        <v>25000</v>
      </c>
      <c r="Q35" s="874" t="s">
        <v>329</v>
      </c>
      <c r="R35" s="877"/>
      <c r="S35" s="785"/>
      <c r="T35" s="777">
        <v>295350</v>
      </c>
      <c r="V35" s="777">
        <v>0</v>
      </c>
      <c r="W35" s="780" t="s">
        <v>293</v>
      </c>
    </row>
    <row r="36" spans="1:34" s="476" customFormat="1" ht="22.5" customHeight="1" x14ac:dyDescent="0.3">
      <c r="B36" s="627"/>
      <c r="C36" s="779"/>
      <c r="D36" s="778"/>
      <c r="E36" s="859" t="s">
        <v>295</v>
      </c>
      <c r="F36" s="781"/>
      <c r="G36" s="782"/>
      <c r="H36" s="783">
        <v>0</v>
      </c>
      <c r="I36" s="783">
        <f>ROUND(V36*P34,-2)</f>
        <v>810000</v>
      </c>
      <c r="J36" s="783">
        <v>0</v>
      </c>
      <c r="K36" s="783">
        <v>0</v>
      </c>
      <c r="L36" s="783">
        <v>0</v>
      </c>
      <c r="M36" s="681"/>
      <c r="N36" s="784"/>
      <c r="O36" s="680"/>
      <c r="P36" s="886"/>
      <c r="Q36" s="627"/>
      <c r="R36" s="888"/>
      <c r="S36" s="785"/>
      <c r="T36" s="777"/>
      <c r="U36" s="777"/>
      <c r="V36" s="777">
        <v>2</v>
      </c>
      <c r="W36" s="780" t="s">
        <v>295</v>
      </c>
      <c r="X36" s="777"/>
      <c r="Y36" s="777"/>
      <c r="Z36" s="777"/>
      <c r="AA36" s="777"/>
      <c r="AB36" s="777"/>
    </row>
    <row r="37" spans="1:34" s="777" customFormat="1" ht="24" customHeight="1" x14ac:dyDescent="0.3">
      <c r="B37" s="778"/>
      <c r="C37" s="779"/>
      <c r="D37" s="778"/>
      <c r="E37" s="859" t="s">
        <v>296</v>
      </c>
      <c r="F37" s="781"/>
      <c r="G37" s="782"/>
      <c r="H37" s="783">
        <v>0</v>
      </c>
      <c r="I37" s="783">
        <f>ROUND((P34*SUM(AE38:AE59))+(P35*SUM(AF38:AF59))*1.03,-2)</f>
        <v>2886500</v>
      </c>
      <c r="J37" s="783">
        <v>0</v>
      </c>
      <c r="K37" s="783">
        <v>0</v>
      </c>
      <c r="L37" s="783">
        <v>0</v>
      </c>
      <c r="M37" s="681"/>
      <c r="N37" s="784"/>
      <c r="O37" s="680"/>
      <c r="P37" s="878"/>
      <c r="Q37" s="875"/>
      <c r="R37" s="877"/>
      <c r="S37" s="785"/>
      <c r="W37" s="780" t="s">
        <v>296</v>
      </c>
      <c r="AD37" s="889" t="s">
        <v>335</v>
      </c>
      <c r="AE37" s="476" t="s">
        <v>333</v>
      </c>
      <c r="AF37" s="476" t="s">
        <v>334</v>
      </c>
      <c r="AG37" s="476"/>
      <c r="AH37" s="476"/>
    </row>
    <row r="38" spans="1:34" s="777" customFormat="1" ht="24" customHeight="1" x14ac:dyDescent="0.3">
      <c r="B38" s="778"/>
      <c r="C38" s="779"/>
      <c r="D38" s="778"/>
      <c r="E38" s="859" t="s">
        <v>297</v>
      </c>
      <c r="F38" s="781"/>
      <c r="G38" s="782"/>
      <c r="H38" s="783">
        <f>V38*P35</f>
        <v>0</v>
      </c>
      <c r="I38" s="783">
        <v>0</v>
      </c>
      <c r="J38" s="783">
        <v>0</v>
      </c>
      <c r="K38" s="783">
        <v>0</v>
      </c>
      <c r="L38" s="783">
        <v>0</v>
      </c>
      <c r="M38" s="681"/>
      <c r="N38" s="784"/>
      <c r="O38" s="680"/>
      <c r="P38" s="878"/>
      <c r="Q38" s="875"/>
      <c r="R38" s="877"/>
      <c r="S38" s="785"/>
      <c r="V38" s="777">
        <v>0</v>
      </c>
      <c r="W38" s="780" t="s">
        <v>297</v>
      </c>
    </row>
    <row r="39" spans="1:34" s="777" customFormat="1" ht="24" customHeight="1" x14ac:dyDescent="0.3">
      <c r="B39" s="778"/>
      <c r="C39" s="779"/>
      <c r="D39" s="778"/>
      <c r="E39" s="859" t="s">
        <v>298</v>
      </c>
      <c r="F39" s="781"/>
      <c r="G39" s="782"/>
      <c r="H39" s="783">
        <v>0</v>
      </c>
      <c r="I39" s="783">
        <v>0</v>
      </c>
      <c r="J39" s="783">
        <v>0</v>
      </c>
      <c r="K39" s="783">
        <v>0</v>
      </c>
      <c r="L39" s="783">
        <v>0</v>
      </c>
      <c r="M39" s="681"/>
      <c r="N39" s="784"/>
      <c r="O39" s="680"/>
      <c r="P39" s="878"/>
      <c r="Q39" s="875"/>
      <c r="R39" s="877"/>
      <c r="S39" s="785"/>
      <c r="V39" s="777">
        <v>0</v>
      </c>
      <c r="W39" s="780" t="s">
        <v>298</v>
      </c>
    </row>
    <row r="40" spans="1:34" s="777" customFormat="1" ht="24" customHeight="1" x14ac:dyDescent="0.3">
      <c r="B40" s="778"/>
      <c r="C40" s="779"/>
      <c r="D40" s="778"/>
      <c r="E40" s="859" t="s">
        <v>299</v>
      </c>
      <c r="F40" s="781"/>
      <c r="G40" s="782"/>
      <c r="H40" s="783">
        <v>0</v>
      </c>
      <c r="I40" s="783">
        <v>0</v>
      </c>
      <c r="J40" s="783">
        <v>0</v>
      </c>
      <c r="K40" s="783">
        <v>0</v>
      </c>
      <c r="L40" s="783">
        <v>0</v>
      </c>
      <c r="M40" s="681"/>
      <c r="N40" s="784"/>
      <c r="O40" s="680"/>
      <c r="P40" s="879"/>
      <c r="Q40" s="880"/>
      <c r="R40" s="881"/>
      <c r="S40" s="785"/>
      <c r="V40" s="777">
        <v>0</v>
      </c>
      <c r="W40" s="780" t="s">
        <v>299</v>
      </c>
      <c r="AE40" s="777">
        <v>2</v>
      </c>
      <c r="AF40" s="777">
        <v>1</v>
      </c>
      <c r="AG40" s="777" t="s">
        <v>316</v>
      </c>
    </row>
    <row r="41" spans="1:34" s="476" customFormat="1" ht="23.7" customHeight="1" x14ac:dyDescent="0.3">
      <c r="B41" s="627"/>
      <c r="C41" s="779"/>
      <c r="D41" s="778"/>
      <c r="E41" s="860" t="s">
        <v>739</v>
      </c>
      <c r="F41" s="781"/>
      <c r="G41" s="782"/>
      <c r="H41" s="783">
        <v>0</v>
      </c>
      <c r="I41" s="783">
        <v>0</v>
      </c>
      <c r="J41" s="783">
        <v>0</v>
      </c>
      <c r="K41" s="783">
        <v>0</v>
      </c>
      <c r="L41" s="783">
        <v>0</v>
      </c>
      <c r="M41" s="681"/>
      <c r="N41" s="784"/>
      <c r="O41" s="680"/>
      <c r="P41" s="878"/>
      <c r="Q41" s="875"/>
      <c r="R41" s="877"/>
      <c r="S41" s="785"/>
      <c r="U41" s="777"/>
      <c r="V41" s="777"/>
      <c r="W41" s="780"/>
      <c r="X41" s="777"/>
      <c r="Y41" s="777"/>
      <c r="Z41" s="777"/>
      <c r="AA41" s="777"/>
      <c r="AB41" s="777"/>
    </row>
    <row r="42" spans="1:34" s="627" customFormat="1" ht="23.7" customHeight="1" x14ac:dyDescent="0.3">
      <c r="C42" s="612"/>
      <c r="D42" s="619"/>
      <c r="E42" s="862" t="s">
        <v>772</v>
      </c>
      <c r="F42" s="793"/>
      <c r="G42" s="1133"/>
      <c r="H42" s="1134">
        <f>SUM(H43:H45)</f>
        <v>27470</v>
      </c>
      <c r="I42" s="1134">
        <f>SUM(I43:I45)</f>
        <v>42454</v>
      </c>
      <c r="J42" s="1134">
        <f>SUM(J43:J45)</f>
        <v>6494</v>
      </c>
      <c r="K42" s="1134">
        <f>SUM(K43:K45)</f>
        <v>45377</v>
      </c>
      <c r="L42" s="1134">
        <f>SUM(L43:L45)</f>
        <v>95064</v>
      </c>
      <c r="M42" s="794"/>
      <c r="N42" s="1135">
        <f>SUM(H42:L42)</f>
        <v>216859</v>
      </c>
      <c r="O42" s="795"/>
      <c r="P42" s="870" t="s">
        <v>327</v>
      </c>
      <c r="Q42" s="866"/>
      <c r="R42" s="871"/>
      <c r="S42" s="637"/>
      <c r="T42" s="671"/>
      <c r="U42" s="476"/>
      <c r="V42" s="476"/>
      <c r="W42" s="476"/>
      <c r="X42" s="476"/>
      <c r="Y42" s="476"/>
      <c r="Z42" s="476"/>
      <c r="AA42" s="476"/>
      <c r="AB42" s="476"/>
    </row>
    <row r="43" spans="1:34" s="627" customFormat="1" ht="23.7" customHeight="1" x14ac:dyDescent="0.3">
      <c r="C43" s="612"/>
      <c r="D43" s="619"/>
      <c r="E43" s="859" t="s">
        <v>321</v>
      </c>
      <c r="F43" s="621"/>
      <c r="G43" s="665"/>
      <c r="H43" s="670">
        <v>19614</v>
      </c>
      <c r="I43" s="670">
        <v>9969</v>
      </c>
      <c r="J43" s="670">
        <v>1985</v>
      </c>
      <c r="K43" s="670">
        <v>0</v>
      </c>
      <c r="L43" s="670">
        <v>65349</v>
      </c>
      <c r="M43" s="695"/>
      <c r="N43" s="795"/>
      <c r="O43" s="795"/>
      <c r="P43" s="872"/>
      <c r="Q43" s="616"/>
      <c r="R43" s="873"/>
      <c r="S43" s="637"/>
      <c r="T43" s="671"/>
      <c r="U43" s="476"/>
      <c r="V43" s="476"/>
      <c r="W43" s="476"/>
      <c r="X43" s="476"/>
      <c r="Y43" s="476"/>
      <c r="Z43" s="476"/>
      <c r="AA43" s="476"/>
      <c r="AB43" s="476"/>
    </row>
    <row r="44" spans="1:34" s="627" customFormat="1" ht="23.7" customHeight="1" x14ac:dyDescent="0.3">
      <c r="C44" s="612"/>
      <c r="D44" s="619"/>
      <c r="E44" s="859" t="s">
        <v>322</v>
      </c>
      <c r="F44" s="621"/>
      <c r="G44" s="665"/>
      <c r="H44" s="670">
        <v>1358</v>
      </c>
      <c r="I44" s="670">
        <v>23235</v>
      </c>
      <c r="J44" s="670">
        <v>1985</v>
      </c>
      <c r="K44" s="670">
        <v>13183</v>
      </c>
      <c r="L44" s="670">
        <v>20845</v>
      </c>
      <c r="M44" s="695"/>
      <c r="N44" s="795"/>
      <c r="O44" s="795"/>
      <c r="P44" s="872"/>
      <c r="Q44" s="616"/>
      <c r="R44" s="873"/>
      <c r="S44" s="637"/>
      <c r="T44" s="671"/>
      <c r="U44" s="476"/>
      <c r="V44" s="476"/>
      <c r="W44" s="476"/>
      <c r="X44" s="476"/>
      <c r="Y44" s="476"/>
      <c r="Z44" s="476"/>
      <c r="AA44" s="476"/>
      <c r="AB44" s="476"/>
    </row>
    <row r="45" spans="1:34" s="627" customFormat="1" ht="23.7" customHeight="1" x14ac:dyDescent="0.3">
      <c r="C45" s="612"/>
      <c r="D45" s="619"/>
      <c r="E45" s="859" t="s">
        <v>323</v>
      </c>
      <c r="F45" s="621"/>
      <c r="G45" s="665"/>
      <c r="H45" s="670">
        <v>6498</v>
      </c>
      <c r="I45" s="670">
        <v>9250</v>
      </c>
      <c r="J45" s="670">
        <v>2524</v>
      </c>
      <c r="K45" s="670">
        <v>32194</v>
      </c>
      <c r="L45" s="670">
        <v>8870</v>
      </c>
      <c r="M45" s="695"/>
      <c r="N45" s="795"/>
      <c r="O45" s="795"/>
      <c r="P45" s="872"/>
      <c r="Q45" s="616"/>
      <c r="R45" s="873"/>
      <c r="S45" s="637"/>
      <c r="T45" s="671"/>
      <c r="U45" s="476"/>
      <c r="V45" s="897" t="s">
        <v>339</v>
      </c>
      <c r="W45" s="897"/>
      <c r="X45" s="897"/>
      <c r="Y45" s="897"/>
      <c r="Z45" s="897"/>
      <c r="AA45" s="897"/>
      <c r="AB45" s="897"/>
    </row>
    <row r="46" spans="1:34" s="777" customFormat="1" ht="24" customHeight="1" x14ac:dyDescent="0.3">
      <c r="A46" s="627"/>
      <c r="B46" s="627"/>
      <c r="C46" s="612"/>
      <c r="D46" s="613" t="s">
        <v>773</v>
      </c>
      <c r="E46" s="614"/>
      <c r="F46" s="614"/>
      <c r="G46" s="672"/>
      <c r="H46" s="672">
        <f>SUM(H42,H10,H18,H26,H34)</f>
        <v>2370570</v>
      </c>
      <c r="I46" s="672">
        <f>SUM(I42,I10,I18,I26,I34)</f>
        <v>4174654</v>
      </c>
      <c r="J46" s="672">
        <f>SUM(J42,J10,J18,J26,J34)</f>
        <v>66894</v>
      </c>
      <c r="K46" s="672">
        <f>SUM(K42,K10,K18,K26,K34)</f>
        <v>45377</v>
      </c>
      <c r="L46" s="672">
        <f>SUM(L42,L10,L18,L26,L34)</f>
        <v>95064</v>
      </c>
      <c r="M46" s="672"/>
      <c r="N46" s="672">
        <f>SUM(H46:L46)</f>
        <v>6752559</v>
      </c>
      <c r="O46" s="634"/>
      <c r="P46" s="898"/>
      <c r="Q46" s="678"/>
      <c r="R46" s="679"/>
      <c r="S46" s="637"/>
      <c r="U46"/>
      <c r="V46"/>
      <c r="W46"/>
      <c r="X46"/>
      <c r="Y46" s="476"/>
      <c r="Z46" s="476"/>
      <c r="AA46" s="476"/>
      <c r="AB46" s="476"/>
      <c r="AE46" s="777">
        <v>1</v>
      </c>
      <c r="AG46" s="777" t="s">
        <v>317</v>
      </c>
    </row>
    <row r="47" spans="1:34" s="627" customFormat="1" ht="23.7" customHeight="1" x14ac:dyDescent="0.3">
      <c r="C47" s="1136"/>
      <c r="D47" s="1137" t="s">
        <v>786</v>
      </c>
      <c r="E47" s="1138"/>
      <c r="F47" s="1139"/>
      <c r="G47" s="1140"/>
      <c r="H47" s="1141"/>
      <c r="I47" s="1141"/>
      <c r="J47" s="1141"/>
      <c r="K47" s="1141"/>
      <c r="L47" s="1141"/>
      <c r="M47" s="1142"/>
      <c r="N47" s="1142"/>
      <c r="O47" s="1142"/>
      <c r="P47" s="797"/>
      <c r="Q47" s="616"/>
      <c r="R47" s="636"/>
      <c r="S47" s="637"/>
      <c r="T47" s="671"/>
      <c r="U47" s="476"/>
      <c r="V47" s="476"/>
      <c r="W47" s="476"/>
      <c r="X47" s="476"/>
      <c r="Y47" s="476"/>
      <c r="Z47" s="476"/>
      <c r="AA47" s="476"/>
      <c r="AB47" s="476"/>
    </row>
    <row r="48" spans="1:34" s="627" customFormat="1" ht="23.7" customHeight="1" x14ac:dyDescent="0.3">
      <c r="C48" s="612"/>
      <c r="D48" s="619"/>
      <c r="E48" s="862" t="s">
        <v>768</v>
      </c>
      <c r="F48" s="793"/>
      <c r="G48" s="1133"/>
      <c r="H48" s="1134">
        <f>SUM(H49:H51)</f>
        <v>5000</v>
      </c>
      <c r="I48" s="1134">
        <f t="shared" ref="I48:L48" si="0">SUM(I49:I51)</f>
        <v>5000</v>
      </c>
      <c r="J48" s="1134">
        <f t="shared" si="0"/>
        <v>448300</v>
      </c>
      <c r="K48" s="1134">
        <f t="shared" si="0"/>
        <v>0</v>
      </c>
      <c r="L48" s="1134">
        <f t="shared" si="0"/>
        <v>0</v>
      </c>
      <c r="M48" s="794"/>
      <c r="N48" s="1135">
        <f>SUM(H48:L48)</f>
        <v>458300</v>
      </c>
      <c r="O48" s="795"/>
      <c r="P48" s="870" t="s">
        <v>779</v>
      </c>
      <c r="Q48" s="866"/>
      <c r="R48" s="871"/>
      <c r="S48" s="637"/>
      <c r="T48" s="671"/>
      <c r="U48" s="476"/>
      <c r="V48" s="476"/>
      <c r="W48" s="476"/>
      <c r="X48" s="476"/>
      <c r="Y48" s="476"/>
      <c r="Z48" s="476"/>
      <c r="AA48" s="476"/>
      <c r="AB48" s="476"/>
    </row>
    <row r="49" spans="2:34" s="627" customFormat="1" ht="23.7" customHeight="1" x14ac:dyDescent="0.3">
      <c r="C49" s="612"/>
      <c r="D49" s="619"/>
      <c r="E49" s="859" t="s">
        <v>5</v>
      </c>
      <c r="F49" s="621"/>
      <c r="G49" s="665"/>
      <c r="H49" s="670">
        <v>0</v>
      </c>
      <c r="I49" s="670">
        <v>0</v>
      </c>
      <c r="J49" s="670">
        <f>ROUND((P49*V49*1.03^2)+(P53*V53*1.03^2), -2)</f>
        <v>415900</v>
      </c>
      <c r="K49" s="670">
        <v>0</v>
      </c>
      <c r="L49" s="670">
        <v>0</v>
      </c>
      <c r="M49" s="695"/>
      <c r="N49" s="795"/>
      <c r="O49" s="795"/>
      <c r="P49" s="872">
        <v>13000</v>
      </c>
      <c r="Q49" s="617" t="s">
        <v>776</v>
      </c>
      <c r="R49" s="873"/>
      <c r="S49" s="637"/>
      <c r="T49" s="671"/>
      <c r="U49" s="476"/>
      <c r="V49" s="476">
        <v>26</v>
      </c>
      <c r="W49" s="476"/>
      <c r="X49" s="476" t="s">
        <v>777</v>
      </c>
      <c r="Y49" s="476"/>
      <c r="Z49" s="476"/>
      <c r="AA49" s="476"/>
      <c r="AB49" s="476"/>
    </row>
    <row r="50" spans="2:34" s="627" customFormat="1" ht="23.7" customHeight="1" x14ac:dyDescent="0.3">
      <c r="C50" s="612"/>
      <c r="D50" s="619"/>
      <c r="E50" s="859" t="s">
        <v>775</v>
      </c>
      <c r="F50" s="696"/>
      <c r="G50" s="677"/>
      <c r="H50" s="670">
        <v>0</v>
      </c>
      <c r="I50" s="670">
        <v>0</v>
      </c>
      <c r="J50" s="670">
        <f>ROUND(P50*V50*1.03^2, -2)</f>
        <v>27400</v>
      </c>
      <c r="K50" s="670">
        <v>0</v>
      </c>
      <c r="L50" s="670">
        <v>0</v>
      </c>
      <c r="M50" s="1143"/>
      <c r="N50" s="795"/>
      <c r="O50" s="795"/>
      <c r="P50" s="872">
        <v>200</v>
      </c>
      <c r="Q50" s="617" t="s">
        <v>778</v>
      </c>
      <c r="R50" s="873"/>
      <c r="S50" s="637"/>
      <c r="T50" s="671"/>
      <c r="U50" s="476"/>
      <c r="V50" s="476">
        <v>129</v>
      </c>
      <c r="W50" s="476"/>
      <c r="X50" s="476" t="s">
        <v>780</v>
      </c>
      <c r="Y50" s="476"/>
      <c r="Z50" s="476"/>
      <c r="AA50" s="476"/>
      <c r="AB50" s="476"/>
    </row>
    <row r="51" spans="2:34" s="627" customFormat="1" ht="23.7" customHeight="1" x14ac:dyDescent="0.3">
      <c r="C51" s="612"/>
      <c r="D51" s="619"/>
      <c r="E51" s="859" t="s">
        <v>781</v>
      </c>
      <c r="F51" s="696"/>
      <c r="G51" s="677"/>
      <c r="H51" s="796">
        <v>5000</v>
      </c>
      <c r="I51" s="796">
        <v>5000</v>
      </c>
      <c r="J51" s="796">
        <v>5000</v>
      </c>
      <c r="K51" s="670">
        <v>0</v>
      </c>
      <c r="L51" s="670">
        <v>0</v>
      </c>
      <c r="M51" s="1143"/>
      <c r="N51" s="1135"/>
      <c r="O51" s="795"/>
      <c r="P51" s="870"/>
      <c r="Q51" s="866"/>
      <c r="R51" s="871"/>
      <c r="S51" s="637"/>
      <c r="T51" s="671"/>
      <c r="X51" s="476"/>
    </row>
    <row r="52" spans="2:34" s="627" customFormat="1" ht="23.7" customHeight="1" x14ac:dyDescent="0.3">
      <c r="C52" s="612"/>
      <c r="D52" s="619"/>
      <c r="E52" s="862" t="s">
        <v>769</v>
      </c>
      <c r="F52" s="793"/>
      <c r="G52" s="1133"/>
      <c r="H52" s="1134">
        <f>SUM(H53)</f>
        <v>0</v>
      </c>
      <c r="I52" s="1134">
        <f t="shared" ref="I52:L52" si="1">SUM(I53)</f>
        <v>57300</v>
      </c>
      <c r="J52" s="1134">
        <f t="shared" si="1"/>
        <v>0</v>
      </c>
      <c r="K52" s="1134">
        <f t="shared" si="1"/>
        <v>0</v>
      </c>
      <c r="L52" s="1134">
        <f t="shared" si="1"/>
        <v>0</v>
      </c>
      <c r="M52" s="794"/>
      <c r="N52" s="1135">
        <f>SUM(H52:L52)</f>
        <v>57300</v>
      </c>
      <c r="O52" s="795"/>
      <c r="P52" s="870"/>
      <c r="Q52" s="866"/>
      <c r="R52" s="871"/>
      <c r="S52" s="637"/>
      <c r="T52" s="671"/>
      <c r="U52" s="476"/>
      <c r="V52" s="476"/>
      <c r="W52" s="476"/>
      <c r="X52" s="476"/>
      <c r="Y52" s="476"/>
      <c r="Z52" s="476"/>
      <c r="AA52" s="476"/>
      <c r="AB52" s="476"/>
    </row>
    <row r="53" spans="2:34" s="627" customFormat="1" ht="23.7" customHeight="1" x14ac:dyDescent="0.3">
      <c r="C53" s="612"/>
      <c r="D53" s="619"/>
      <c r="E53" s="859" t="s">
        <v>5</v>
      </c>
      <c r="F53" s="621"/>
      <c r="G53" s="665"/>
      <c r="H53" s="670">
        <v>0</v>
      </c>
      <c r="I53" s="670">
        <f>ROUND(P53*V53*1.03^2, -2)</f>
        <v>57300</v>
      </c>
      <c r="J53" s="670">
        <v>0</v>
      </c>
      <c r="K53" s="670">
        <v>0</v>
      </c>
      <c r="L53" s="670">
        <v>0</v>
      </c>
      <c r="M53" s="695"/>
      <c r="N53" s="795"/>
      <c r="O53" s="795"/>
      <c r="P53" s="872">
        <v>4500</v>
      </c>
      <c r="Q53" s="617" t="s">
        <v>783</v>
      </c>
      <c r="R53" s="873"/>
      <c r="S53" s="637"/>
      <c r="T53" s="671"/>
      <c r="U53" s="476"/>
      <c r="V53" s="476">
        <v>12</v>
      </c>
      <c r="W53" s="476"/>
      <c r="X53" s="476" t="s">
        <v>782</v>
      </c>
      <c r="Y53" s="476"/>
      <c r="Z53" s="476"/>
      <c r="AA53" s="476"/>
      <c r="AB53" s="476"/>
    </row>
    <row r="54" spans="2:34" s="627" customFormat="1" ht="23.7" customHeight="1" x14ac:dyDescent="0.3">
      <c r="C54" s="612"/>
      <c r="D54" s="619"/>
      <c r="E54" s="862" t="s">
        <v>788</v>
      </c>
      <c r="F54" s="793"/>
      <c r="G54" s="1133"/>
      <c r="H54" s="1134">
        <f>SUM(H59:H61)</f>
        <v>0</v>
      </c>
      <c r="I54" s="1134">
        <f>P54</f>
        <v>20000</v>
      </c>
      <c r="J54" s="1134">
        <v>0</v>
      </c>
      <c r="K54" s="1134">
        <v>0</v>
      </c>
      <c r="L54" s="1134">
        <v>0</v>
      </c>
      <c r="M54" s="794"/>
      <c r="N54" s="1135">
        <f>SUM(H54:L54)</f>
        <v>20000</v>
      </c>
      <c r="O54" s="795"/>
      <c r="P54" s="870">
        <v>20000</v>
      </c>
      <c r="Q54" s="1144" t="s">
        <v>784</v>
      </c>
      <c r="R54" s="871"/>
      <c r="S54" s="637"/>
      <c r="T54" s="671"/>
      <c r="U54" s="476"/>
      <c r="V54" s="476"/>
      <c r="W54" s="476"/>
      <c r="X54" s="476"/>
      <c r="Y54" s="476"/>
      <c r="Z54" s="476"/>
      <c r="AA54" s="476"/>
      <c r="AB54" s="476"/>
    </row>
    <row r="55" spans="2:34" s="627" customFormat="1" ht="23.7" customHeight="1" x14ac:dyDescent="0.3">
      <c r="C55" s="612"/>
      <c r="D55" s="619"/>
      <c r="E55" s="862" t="s">
        <v>770</v>
      </c>
      <c r="F55" s="793"/>
      <c r="G55" s="1133"/>
      <c r="H55" s="1134">
        <f>SUM(H60:H62)</f>
        <v>0</v>
      </c>
      <c r="I55" s="1134">
        <f>P55</f>
        <v>9000</v>
      </c>
      <c r="J55" s="1134">
        <f>SUM(J60:J62)</f>
        <v>0</v>
      </c>
      <c r="K55" s="1134">
        <f>SUM(K60:K62)</f>
        <v>0</v>
      </c>
      <c r="L55" s="1134">
        <f>SUM(L60:L62)</f>
        <v>0</v>
      </c>
      <c r="M55" s="794"/>
      <c r="N55" s="1135">
        <f>SUM(H55:L55)</f>
        <v>9000</v>
      </c>
      <c r="O55" s="795"/>
      <c r="P55" s="870">
        <f>P18</f>
        <v>9000</v>
      </c>
      <c r="Q55" s="1144" t="s">
        <v>785</v>
      </c>
      <c r="R55" s="871"/>
      <c r="S55" s="637"/>
      <c r="T55" s="671"/>
      <c r="U55" s="476"/>
      <c r="V55" s="476"/>
      <c r="W55" s="476"/>
      <c r="X55" s="476"/>
      <c r="Y55" s="476"/>
      <c r="Z55" s="476"/>
      <c r="AA55" s="476"/>
      <c r="AB55" s="476"/>
    </row>
    <row r="56" spans="2:34" s="777" customFormat="1" ht="24" customHeight="1" x14ac:dyDescent="0.3">
      <c r="B56" s="778"/>
      <c r="C56" s="612"/>
      <c r="D56" s="613" t="s">
        <v>774</v>
      </c>
      <c r="E56" s="614"/>
      <c r="F56" s="614"/>
      <c r="G56" s="672"/>
      <c r="H56" s="672">
        <f>SUM(H48,H52,H54,H55)</f>
        <v>5000</v>
      </c>
      <c r="I56" s="672">
        <f t="shared" ref="I56:L56" si="2">SUM(I48,I52,I54,I55)</f>
        <v>91300</v>
      </c>
      <c r="J56" s="672">
        <f t="shared" si="2"/>
        <v>448300</v>
      </c>
      <c r="K56" s="672">
        <f t="shared" si="2"/>
        <v>0</v>
      </c>
      <c r="L56" s="672">
        <f t="shared" si="2"/>
        <v>0</v>
      </c>
      <c r="M56" s="672"/>
      <c r="N56" s="672">
        <f>SUM(H56:L56)</f>
        <v>544600</v>
      </c>
      <c r="O56" s="634"/>
      <c r="P56" s="898"/>
      <c r="Q56" s="678"/>
      <c r="R56" s="679"/>
      <c r="S56" s="637"/>
      <c r="U56"/>
      <c r="V56"/>
      <c r="W56"/>
      <c r="X56"/>
      <c r="Y56" s="476"/>
      <c r="Z56" s="476"/>
      <c r="AA56" s="476"/>
      <c r="AB56" s="476"/>
      <c r="AG56" s="777" t="s">
        <v>317</v>
      </c>
    </row>
    <row r="57" spans="2:34" s="777" customFormat="1" ht="24" customHeight="1" x14ac:dyDescent="0.3">
      <c r="B57" s="778"/>
      <c r="C57" s="798"/>
      <c r="D57" s="799"/>
      <c r="E57" s="696"/>
      <c r="F57" s="696"/>
      <c r="G57" s="696"/>
      <c r="H57" s="729"/>
      <c r="I57" s="729"/>
      <c r="J57" s="729"/>
      <c r="K57" s="729"/>
      <c r="L57" s="729"/>
      <c r="M57" s="729"/>
      <c r="N57" s="800"/>
      <c r="O57" s="800"/>
      <c r="P57" s="899"/>
      <c r="Q57" s="678"/>
      <c r="R57" s="679"/>
      <c r="S57" s="637"/>
      <c r="T57" s="627"/>
      <c r="U57"/>
      <c r="V57"/>
      <c r="W57"/>
      <c r="X57"/>
      <c r="Y57" s="476"/>
      <c r="Z57" s="476"/>
      <c r="AA57" s="476"/>
      <c r="AB57" s="476"/>
      <c r="AE57" s="777">
        <v>2</v>
      </c>
      <c r="AF57" s="777">
        <v>1</v>
      </c>
      <c r="AG57" s="777" t="s">
        <v>318</v>
      </c>
    </row>
    <row r="58" spans="2:34" s="777" customFormat="1" ht="24" customHeight="1" x14ac:dyDescent="0.3">
      <c r="B58" s="778"/>
      <c r="C58" s="612"/>
      <c r="D58" s="613"/>
      <c r="E58" s="651"/>
      <c r="F58" s="614"/>
      <c r="G58" s="868"/>
      <c r="H58" s="868"/>
      <c r="I58" s="868"/>
      <c r="J58" s="868"/>
      <c r="K58" s="868"/>
      <c r="L58" s="868"/>
      <c r="M58" s="868"/>
      <c r="N58" s="869"/>
      <c r="O58" s="869"/>
      <c r="P58" s="899"/>
      <c r="Q58" s="678"/>
      <c r="R58" s="679"/>
      <c r="S58" s="637"/>
      <c r="U58"/>
      <c r="V58"/>
      <c r="W58"/>
      <c r="X58"/>
      <c r="Y58" s="476"/>
      <c r="Z58" s="476"/>
      <c r="AA58" s="476"/>
      <c r="AB58"/>
      <c r="AE58" s="777">
        <v>2</v>
      </c>
      <c r="AG58" s="777" t="s">
        <v>319</v>
      </c>
    </row>
    <row r="59" spans="2:34" s="777" customFormat="1" ht="24" customHeight="1" x14ac:dyDescent="0.3">
      <c r="B59" s="778"/>
      <c r="C59" s="612"/>
      <c r="D59" s="613"/>
      <c r="E59" s="651"/>
      <c r="F59" s="614"/>
      <c r="G59" s="868"/>
      <c r="H59" s="868"/>
      <c r="I59" s="868"/>
      <c r="J59" s="868"/>
      <c r="K59" s="868"/>
      <c r="L59" s="868"/>
      <c r="M59" s="868"/>
      <c r="N59" s="869"/>
      <c r="O59" s="869"/>
      <c r="P59" s="899"/>
      <c r="Q59" s="678"/>
      <c r="R59" s="679"/>
      <c r="S59" s="637"/>
      <c r="U59"/>
      <c r="V59"/>
      <c r="W59"/>
      <c r="X59"/>
      <c r="Y59" s="476"/>
      <c r="Z59" s="476"/>
      <c r="AA59" s="476"/>
      <c r="AB59" s="627"/>
      <c r="AE59" s="476"/>
      <c r="AF59" s="476"/>
      <c r="AG59" s="476" t="s">
        <v>320</v>
      </c>
      <c r="AH59" s="476"/>
    </row>
    <row r="60" spans="2:34" s="777" customFormat="1" ht="24" customHeight="1" x14ac:dyDescent="0.3">
      <c r="B60" s="778"/>
      <c r="C60" s="612"/>
      <c r="D60" s="613"/>
      <c r="E60" s="651"/>
      <c r="F60" s="614"/>
      <c r="G60" s="614"/>
      <c r="H60" s="868"/>
      <c r="I60" s="868"/>
      <c r="J60" s="868"/>
      <c r="K60" s="868"/>
      <c r="L60" s="868"/>
      <c r="M60" s="868"/>
      <c r="N60" s="868"/>
      <c r="O60" s="868"/>
      <c r="P60" s="899"/>
      <c r="Q60" s="678"/>
      <c r="R60" s="679"/>
      <c r="S60" s="637"/>
      <c r="U60"/>
      <c r="V60"/>
      <c r="W60"/>
      <c r="X60"/>
      <c r="Y60" s="476"/>
      <c r="Z60" s="476"/>
      <c r="AA60" s="476"/>
      <c r="AB60"/>
    </row>
    <row r="61" spans="2:34" s="777" customFormat="1" ht="24" customHeight="1" thickBot="1" x14ac:dyDescent="0.35">
      <c r="B61" s="778"/>
      <c r="C61" s="642"/>
      <c r="D61" s="682"/>
      <c r="E61" s="682"/>
      <c r="F61" s="682"/>
      <c r="G61" s="682"/>
      <c r="H61" s="682"/>
      <c r="I61" s="682"/>
      <c r="J61" s="682"/>
      <c r="K61" s="682"/>
      <c r="L61" s="682"/>
      <c r="M61" s="682"/>
      <c r="N61" s="682"/>
      <c r="O61" s="682"/>
      <c r="P61" s="900"/>
      <c r="Q61" s="683"/>
      <c r="R61" s="684"/>
      <c r="S61" s="685"/>
      <c r="T61"/>
      <c r="U61"/>
      <c r="V61"/>
      <c r="W61"/>
      <c r="X61"/>
      <c r="Y61"/>
      <c r="Z61"/>
      <c r="AA61"/>
      <c r="AB61"/>
    </row>
    <row r="62" spans="2:34" s="476" customFormat="1" ht="24.45" customHeight="1" thickBot="1" x14ac:dyDescent="0.35">
      <c r="C62"/>
      <c r="D62"/>
      <c r="E62"/>
      <c r="F62"/>
      <c r="G62"/>
      <c r="H62"/>
      <c r="I62"/>
      <c r="J62"/>
      <c r="K62"/>
      <c r="L62"/>
      <c r="M62"/>
      <c r="N62"/>
      <c r="O62"/>
      <c r="P62" s="362"/>
      <c r="Q62" s="362"/>
      <c r="R62" s="481"/>
      <c r="S62" s="481"/>
      <c r="T62"/>
      <c r="U62"/>
      <c r="V62"/>
      <c r="W62"/>
      <c r="X62"/>
      <c r="Y62" s="627"/>
      <c r="Z62" s="627"/>
      <c r="AA62" s="627"/>
      <c r="AB62"/>
    </row>
    <row r="63" spans="2:34" x14ac:dyDescent="0.3">
      <c r="B63" s="824" t="s">
        <v>310</v>
      </c>
      <c r="C63" s="487"/>
      <c r="D63" s="488"/>
      <c r="E63" s="488"/>
      <c r="F63" s="488"/>
      <c r="G63" s="488"/>
      <c r="H63" s="488"/>
      <c r="I63" s="488"/>
      <c r="J63" s="488"/>
      <c r="K63" s="488"/>
      <c r="L63" s="488"/>
      <c r="M63" s="488"/>
      <c r="N63" s="488"/>
      <c r="O63" s="489"/>
      <c r="P63" s="658"/>
      <c r="Q63" s="658"/>
      <c r="R63" s="659"/>
      <c r="S63" s="660"/>
      <c r="U63" s="476"/>
      <c r="V63" s="766" t="s">
        <v>302</v>
      </c>
      <c r="W63" s="767"/>
      <c r="X63" s="767"/>
      <c r="Y63" s="767"/>
      <c r="Z63" s="767"/>
      <c r="AA63" s="768" t="s">
        <v>305</v>
      </c>
      <c r="AB63" s="630"/>
    </row>
    <row r="64" spans="2:34" s="476" customFormat="1" ht="27" customHeight="1" x14ac:dyDescent="0.35">
      <c r="B64" s="664"/>
      <c r="C64" s="493"/>
      <c r="D64" s="582" t="s">
        <v>892</v>
      </c>
      <c r="E64" s="590"/>
      <c r="F64" s="590"/>
      <c r="G64" s="590"/>
      <c r="H64" s="591"/>
      <c r="I64" s="591"/>
      <c r="J64" s="591"/>
      <c r="K64" s="591"/>
      <c r="L64" s="591"/>
      <c r="M64" s="591"/>
      <c r="N64" s="1364" t="s">
        <v>308</v>
      </c>
      <c r="O64" s="592"/>
      <c r="P64" s="593"/>
      <c r="Q64" s="593"/>
      <c r="R64" s="594"/>
      <c r="S64" s="595"/>
      <c r="V64" s="769" t="s">
        <v>303</v>
      </c>
      <c r="Z64" s="770"/>
      <c r="AA64" s="771">
        <v>151892.04</v>
      </c>
    </row>
    <row r="65" spans="2:28" s="476" customFormat="1" ht="6.75" customHeight="1" x14ac:dyDescent="0.3">
      <c r="B65" s="627"/>
      <c r="C65" s="596"/>
      <c r="D65" s="597"/>
      <c r="E65" s="598"/>
      <c r="F65" s="598"/>
      <c r="G65" s="598"/>
      <c r="H65" s="599"/>
      <c r="I65" s="599"/>
      <c r="J65" s="599"/>
      <c r="K65" s="599"/>
      <c r="L65" s="599"/>
      <c r="M65" s="599"/>
      <c r="N65" s="1364"/>
      <c r="O65" s="592"/>
      <c r="P65" s="600"/>
      <c r="Q65" s="600"/>
      <c r="R65" s="601"/>
      <c r="S65" s="602"/>
      <c r="V65" s="769"/>
      <c r="Z65" s="770"/>
      <c r="AA65" s="771"/>
    </row>
    <row r="66" spans="2:28" s="476" customFormat="1" ht="15.75" customHeight="1" x14ac:dyDescent="0.3">
      <c r="B66" s="627"/>
      <c r="C66" s="501"/>
      <c r="D66" s="584"/>
      <c r="E66" s="502" t="s">
        <v>337</v>
      </c>
      <c r="F66" s="583"/>
      <c r="G66" s="504"/>
      <c r="H66" s="505" t="s">
        <v>210</v>
      </c>
      <c r="I66" s="505" t="s">
        <v>227</v>
      </c>
      <c r="J66" s="505" t="s">
        <v>228</v>
      </c>
      <c r="K66" s="505" t="s">
        <v>229</v>
      </c>
      <c r="L66" s="505" t="s">
        <v>230</v>
      </c>
      <c r="M66" s="505"/>
      <c r="N66" s="1365"/>
      <c r="O66" s="603"/>
      <c r="P66" s="661" t="s">
        <v>246</v>
      </c>
      <c r="Q66" s="661"/>
      <c r="R66" s="662"/>
      <c r="S66" s="663"/>
      <c r="V66" s="772" t="s">
        <v>304</v>
      </c>
      <c r="W66" s="773"/>
      <c r="X66" s="773"/>
      <c r="Y66" s="774"/>
      <c r="Z66" s="775"/>
      <c r="AA66" s="776">
        <v>81000</v>
      </c>
      <c r="AB66" s="630"/>
    </row>
    <row r="67" spans="2:28" s="476" customFormat="1" ht="3.75" customHeight="1" x14ac:dyDescent="0.3">
      <c r="C67" s="804"/>
      <c r="D67" s="485"/>
      <c r="E67" s="651"/>
      <c r="F67" s="94"/>
      <c r="G67" s="94"/>
      <c r="H67" s="94"/>
      <c r="I67" s="820"/>
      <c r="J67" s="94"/>
      <c r="K67" s="94"/>
      <c r="L67" s="94"/>
      <c r="M67" s="94"/>
      <c r="N67" s="890"/>
      <c r="O67" s="21"/>
      <c r="P67" s="362"/>
      <c r="Q67" s="362"/>
      <c r="R67" s="481"/>
      <c r="S67" s="481"/>
      <c r="T67"/>
      <c r="U67"/>
      <c r="V67"/>
      <c r="W67"/>
      <c r="X67"/>
      <c r="Y67"/>
      <c r="Z67"/>
      <c r="AA67"/>
      <c r="AB67" s="481"/>
    </row>
    <row r="68" spans="2:28" s="476" customFormat="1" ht="19.2" customHeight="1" x14ac:dyDescent="0.3">
      <c r="C68" s="806"/>
      <c r="D68" s="818"/>
      <c r="E68" s="863" t="str">
        <f>E42</f>
        <v>TTD Shop Street Facility Priority Improvements</v>
      </c>
      <c r="F68" s="802"/>
      <c r="G68" s="802"/>
      <c r="H68" s="815">
        <f>H42</f>
        <v>27470</v>
      </c>
      <c r="I68" s="815">
        <f>I42</f>
        <v>42454</v>
      </c>
      <c r="J68" s="815">
        <f>J42</f>
        <v>6494</v>
      </c>
      <c r="K68" s="815">
        <f>K42</f>
        <v>45377</v>
      </c>
      <c r="L68" s="815">
        <f>L42</f>
        <v>95064</v>
      </c>
      <c r="M68" s="816"/>
      <c r="N68" s="891">
        <f t="shared" ref="N68:N73" si="3">SUM(H68:L68)</f>
        <v>216859</v>
      </c>
      <c r="O68" s="807"/>
      <c r="P68" s="362"/>
      <c r="Q68" s="362"/>
      <c r="R68" s="481"/>
      <c r="S68" s="481"/>
      <c r="T68"/>
      <c r="U68"/>
      <c r="V68"/>
      <c r="W68"/>
      <c r="X68"/>
      <c r="Y68"/>
      <c r="Z68"/>
      <c r="AA68"/>
      <c r="AB68" s="481"/>
    </row>
    <row r="69" spans="2:28" s="476" customFormat="1" ht="20.7" customHeight="1" x14ac:dyDescent="0.3">
      <c r="C69" s="806"/>
      <c r="D69" s="818"/>
      <c r="E69" s="863" t="str">
        <f>E10</f>
        <v>Fleet Expansion</v>
      </c>
      <c r="F69" s="802"/>
      <c r="G69" s="802"/>
      <c r="H69" s="815">
        <f>H10</f>
        <v>2343100</v>
      </c>
      <c r="I69" s="815">
        <f>I10</f>
        <v>0</v>
      </c>
      <c r="J69" s="815">
        <f>J10</f>
        <v>0</v>
      </c>
      <c r="K69" s="815">
        <f>K10</f>
        <v>0</v>
      </c>
      <c r="L69" s="815">
        <f>L10</f>
        <v>0</v>
      </c>
      <c r="M69" s="816"/>
      <c r="N69" s="891">
        <f t="shared" si="3"/>
        <v>2343100</v>
      </c>
      <c r="O69" s="807"/>
      <c r="P69" s="362"/>
      <c r="Q69" s="362"/>
      <c r="R69" s="481"/>
      <c r="S69" s="481"/>
      <c r="T69"/>
      <c r="U69"/>
      <c r="V69"/>
      <c r="W69"/>
      <c r="X69"/>
      <c r="Y69"/>
      <c r="Z69"/>
      <c r="AA69"/>
      <c r="AB69" s="481"/>
    </row>
    <row r="70" spans="2:28" s="476" customFormat="1" ht="20.7" customHeight="1" x14ac:dyDescent="0.3">
      <c r="C70" s="808"/>
      <c r="D70" s="819"/>
      <c r="E70" s="864" t="str">
        <f>E18</f>
        <v>Staffing</v>
      </c>
      <c r="F70" s="803"/>
      <c r="G70" s="803"/>
      <c r="H70" s="892">
        <f>H18</f>
        <v>0</v>
      </c>
      <c r="I70" s="892">
        <f>I18</f>
        <v>64900</v>
      </c>
      <c r="J70" s="892">
        <f>J18</f>
        <v>28600</v>
      </c>
      <c r="K70" s="892">
        <f>K18</f>
        <v>0</v>
      </c>
      <c r="L70" s="892">
        <f>L18</f>
        <v>0</v>
      </c>
      <c r="M70" s="817"/>
      <c r="N70" s="891">
        <f t="shared" si="3"/>
        <v>93500</v>
      </c>
      <c r="O70" s="809"/>
      <c r="P70" s="362"/>
      <c r="Q70" s="362"/>
      <c r="R70" s="481"/>
      <c r="S70" s="481"/>
      <c r="T70"/>
      <c r="U70"/>
      <c r="V70"/>
      <c r="W70"/>
      <c r="X70"/>
      <c r="Y70"/>
      <c r="Z70"/>
      <c r="AA70"/>
      <c r="AB70" s="481"/>
    </row>
    <row r="71" spans="2:28" s="476" customFormat="1" ht="20.7" customHeight="1" x14ac:dyDescent="0.3">
      <c r="C71" s="808"/>
      <c r="D71" s="819"/>
      <c r="E71" s="864" t="str">
        <f>E26</f>
        <v>New Bus Stops</v>
      </c>
      <c r="F71" s="803"/>
      <c r="G71" s="803"/>
      <c r="H71" s="892">
        <f>H26</f>
        <v>0</v>
      </c>
      <c r="I71" s="892">
        <f>I26</f>
        <v>370800</v>
      </c>
      <c r="J71" s="892">
        <f>J26</f>
        <v>31800</v>
      </c>
      <c r="K71" s="892">
        <f>K26</f>
        <v>0</v>
      </c>
      <c r="L71" s="892">
        <f>L26</f>
        <v>0</v>
      </c>
      <c r="M71" s="817"/>
      <c r="N71" s="891">
        <f t="shared" si="3"/>
        <v>402600</v>
      </c>
      <c r="O71" s="809"/>
      <c r="P71" s="362"/>
      <c r="Q71" s="362"/>
      <c r="R71" s="481"/>
      <c r="S71" s="481"/>
      <c r="T71"/>
      <c r="U71"/>
      <c r="V71"/>
      <c r="W71"/>
      <c r="X71"/>
      <c r="Y71"/>
      <c r="Z71"/>
      <c r="AA71"/>
      <c r="AB71" s="481"/>
    </row>
    <row r="72" spans="2:28" s="476" customFormat="1" ht="20.7" customHeight="1" x14ac:dyDescent="0.3">
      <c r="C72" s="808"/>
      <c r="D72" s="819"/>
      <c r="E72" s="864" t="str">
        <f>E34</f>
        <v>Bus Pull outs and Pedestrian Crossings</v>
      </c>
      <c r="F72" s="803"/>
      <c r="G72" s="803"/>
      <c r="H72" s="892">
        <f>H34</f>
        <v>0</v>
      </c>
      <c r="I72" s="892">
        <f>I34</f>
        <v>3696500</v>
      </c>
      <c r="J72" s="892">
        <f>J34</f>
        <v>0</v>
      </c>
      <c r="K72" s="892">
        <f>K34</f>
        <v>0</v>
      </c>
      <c r="L72" s="892">
        <f>L34</f>
        <v>0</v>
      </c>
      <c r="M72" s="817"/>
      <c r="N72" s="891">
        <f t="shared" si="3"/>
        <v>3696500</v>
      </c>
      <c r="O72" s="809"/>
      <c r="P72" s="362"/>
      <c r="Q72" s="362"/>
      <c r="R72" s="481"/>
      <c r="S72" s="481"/>
      <c r="T72"/>
      <c r="U72"/>
      <c r="V72"/>
      <c r="W72"/>
      <c r="X72"/>
      <c r="Y72"/>
      <c r="Z72"/>
      <c r="AA72"/>
      <c r="AB72" s="481"/>
    </row>
    <row r="73" spans="2:28" s="476" customFormat="1" ht="20.7" customHeight="1" x14ac:dyDescent="0.3">
      <c r="C73" s="808"/>
      <c r="D73" s="819"/>
      <c r="E73" s="1344" t="s">
        <v>336</v>
      </c>
      <c r="F73" s="893"/>
      <c r="G73" s="893"/>
      <c r="H73" s="894">
        <f>SUM(H68:H72)</f>
        <v>2370570</v>
      </c>
      <c r="I73" s="894">
        <f>SUM(I68:I72)</f>
        <v>4174654</v>
      </c>
      <c r="J73" s="894">
        <f>SUM(J68:J72)</f>
        <v>66894</v>
      </c>
      <c r="K73" s="894">
        <f>SUM(K68:K72)</f>
        <v>45377</v>
      </c>
      <c r="L73" s="894">
        <f>SUM(L68:L72)</f>
        <v>95064</v>
      </c>
      <c r="M73" s="895"/>
      <c r="N73" s="896">
        <f t="shared" si="3"/>
        <v>6752559</v>
      </c>
      <c r="O73" s="809"/>
      <c r="P73" s="362"/>
      <c r="Q73" s="362"/>
      <c r="R73" s="481"/>
      <c r="S73" s="481"/>
      <c r="T73"/>
      <c r="U73"/>
      <c r="V73"/>
      <c r="W73"/>
      <c r="X73"/>
      <c r="Y73"/>
      <c r="Z73"/>
      <c r="AA73"/>
      <c r="AB73" s="481"/>
    </row>
    <row r="74" spans="2:28" s="476" customFormat="1" ht="9.4499999999999993" customHeight="1" thickBot="1" x14ac:dyDescent="0.35">
      <c r="C74" s="810"/>
      <c r="D74" s="647"/>
      <c r="E74" s="821"/>
      <c r="F74" s="811"/>
      <c r="G74" s="811"/>
      <c r="H74" s="811"/>
      <c r="I74" s="822"/>
      <c r="J74" s="811"/>
      <c r="K74" s="811"/>
      <c r="L74" s="811"/>
      <c r="M74" s="811"/>
      <c r="N74" s="811"/>
      <c r="O74" s="812"/>
      <c r="P74" s="362"/>
      <c r="Q74" s="362"/>
      <c r="R74" s="481"/>
      <c r="S74" s="481"/>
      <c r="T74"/>
      <c r="U74"/>
      <c r="V74"/>
      <c r="W74"/>
      <c r="X74"/>
      <c r="Y74"/>
      <c r="Z74"/>
      <c r="AA74"/>
      <c r="AB74" s="481"/>
    </row>
    <row r="75" spans="2:28" s="476" customFormat="1" x14ac:dyDescent="0.3">
      <c r="C75"/>
      <c r="D75" s="362"/>
      <c r="E75" s="686"/>
      <c r="F75"/>
      <c r="G75"/>
      <c r="H75"/>
      <c r="I75" s="581"/>
      <c r="J75"/>
      <c r="K75"/>
      <c r="L75"/>
      <c r="M75"/>
      <c r="N75"/>
      <c r="O75"/>
      <c r="P75" s="362"/>
      <c r="Q75" s="362"/>
      <c r="R75" s="481"/>
      <c r="S75" s="481"/>
      <c r="T75"/>
      <c r="U75"/>
      <c r="V75"/>
      <c r="W75"/>
      <c r="X75"/>
      <c r="Y75"/>
      <c r="Z75"/>
      <c r="AA75"/>
      <c r="AB75" s="481"/>
    </row>
    <row r="76" spans="2:28" s="476" customFormat="1" ht="20.7" customHeight="1" thickBot="1" x14ac:dyDescent="0.35">
      <c r="C76"/>
      <c r="D76" s="362"/>
      <c r="E76" s="686"/>
      <c r="F76"/>
      <c r="G76"/>
      <c r="H76"/>
      <c r="I76" s="581"/>
      <c r="J76"/>
      <c r="K76"/>
      <c r="L76"/>
      <c r="M76"/>
      <c r="N76"/>
      <c r="O76"/>
      <c r="P76" s="362"/>
      <c r="Q76" s="362"/>
      <c r="R76" s="481"/>
      <c r="S76" s="481"/>
      <c r="T76"/>
      <c r="U76"/>
      <c r="V76"/>
      <c r="W76"/>
      <c r="X76"/>
      <c r="Y76"/>
      <c r="Z76"/>
      <c r="AA76"/>
      <c r="AB76" s="481"/>
    </row>
    <row r="77" spans="2:28" x14ac:dyDescent="0.3">
      <c r="B77" s="824" t="s">
        <v>310</v>
      </c>
      <c r="C77" s="487"/>
      <c r="D77" s="488"/>
      <c r="E77" s="488"/>
      <c r="F77" s="488"/>
      <c r="G77" s="488"/>
      <c r="H77" s="488"/>
      <c r="I77" s="488"/>
      <c r="J77" s="488"/>
      <c r="K77" s="488"/>
      <c r="L77" s="488"/>
      <c r="M77" s="488"/>
      <c r="N77" s="488"/>
      <c r="O77" s="489"/>
      <c r="P77" s="658"/>
      <c r="Q77" s="658"/>
      <c r="R77" s="659"/>
      <c r="S77" s="660"/>
      <c r="U77" s="476"/>
      <c r="V77" s="476"/>
      <c r="W77" s="476"/>
      <c r="X77" s="476"/>
      <c r="Y77" s="476"/>
      <c r="Z77" s="476"/>
      <c r="AA77" s="476"/>
      <c r="AB77" s="630"/>
    </row>
    <row r="78" spans="2:28" s="476" customFormat="1" ht="21.75" customHeight="1" x14ac:dyDescent="0.35">
      <c r="B78" s="664"/>
      <c r="C78" s="493"/>
      <c r="D78" s="582" t="s">
        <v>893</v>
      </c>
      <c r="E78" s="590"/>
      <c r="F78" s="590"/>
      <c r="G78" s="590"/>
      <c r="H78" s="591"/>
      <c r="I78" s="591"/>
      <c r="J78" s="591"/>
      <c r="K78" s="591"/>
      <c r="L78" s="591"/>
      <c r="M78" s="591"/>
      <c r="N78" s="1364" t="s">
        <v>308</v>
      </c>
      <c r="O78" s="592"/>
      <c r="P78" s="593"/>
      <c r="Q78" s="593"/>
      <c r="R78" s="594"/>
      <c r="S78" s="595"/>
      <c r="Z78" s="770"/>
      <c r="AA78" s="770"/>
    </row>
    <row r="79" spans="2:28" s="476" customFormat="1" ht="10.5" customHeight="1" x14ac:dyDescent="0.3">
      <c r="B79" s="627"/>
      <c r="C79" s="596"/>
      <c r="D79" s="597"/>
      <c r="E79" s="598"/>
      <c r="F79" s="598"/>
      <c r="G79" s="598"/>
      <c r="H79" s="599"/>
      <c r="I79" s="599"/>
      <c r="J79" s="599"/>
      <c r="K79" s="599"/>
      <c r="L79" s="599"/>
      <c r="M79" s="599"/>
      <c r="N79" s="1364"/>
      <c r="O79" s="592"/>
      <c r="P79" s="600"/>
      <c r="Q79" s="600"/>
      <c r="R79" s="601"/>
      <c r="S79" s="602"/>
      <c r="Z79" s="770"/>
      <c r="AA79" s="770"/>
    </row>
    <row r="80" spans="2:28" s="476" customFormat="1" ht="18" customHeight="1" x14ac:dyDescent="0.3">
      <c r="B80" s="627"/>
      <c r="C80" s="501"/>
      <c r="D80" s="584"/>
      <c r="E80" s="502" t="s">
        <v>338</v>
      </c>
      <c r="F80" s="583"/>
      <c r="G80" s="504"/>
      <c r="H80" s="505" t="s">
        <v>210</v>
      </c>
      <c r="I80" s="505" t="s">
        <v>227</v>
      </c>
      <c r="J80" s="505" t="s">
        <v>228</v>
      </c>
      <c r="K80" s="505" t="s">
        <v>229</v>
      </c>
      <c r="L80" s="505" t="s">
        <v>230</v>
      </c>
      <c r="M80" s="505"/>
      <c r="N80" s="1365"/>
      <c r="O80" s="603"/>
      <c r="P80" s="661" t="s">
        <v>246</v>
      </c>
      <c r="Q80" s="661"/>
      <c r="R80" s="662"/>
      <c r="S80" s="663"/>
      <c r="Y80" s="630"/>
      <c r="Z80" s="801"/>
      <c r="AA80" s="801"/>
      <c r="AB80" s="630"/>
    </row>
    <row r="81" spans="2:28" s="627" customFormat="1" ht="4.5" customHeight="1" x14ac:dyDescent="0.3">
      <c r="C81" s="804"/>
      <c r="D81" s="94"/>
      <c r="E81" s="94"/>
      <c r="F81" s="94"/>
      <c r="G81" s="94"/>
      <c r="H81" s="805"/>
      <c r="I81" s="805"/>
      <c r="J81" s="94"/>
      <c r="K81" s="94"/>
      <c r="L81" s="94"/>
      <c r="M81" s="94"/>
      <c r="N81" s="890"/>
      <c r="O81" s="21"/>
      <c r="P81" s="362"/>
      <c r="Q81" s="362"/>
      <c r="R81" s="481"/>
      <c r="S81" s="481"/>
      <c r="T81"/>
      <c r="U81"/>
      <c r="V81"/>
      <c r="W81"/>
      <c r="X81"/>
      <c r="Y81"/>
      <c r="Z81"/>
      <c r="AA81" s="481"/>
      <c r="AB81" s="481"/>
    </row>
    <row r="82" spans="2:28" ht="21.9" customHeight="1" x14ac:dyDescent="0.3">
      <c r="C82" s="806"/>
      <c r="D82" s="802"/>
      <c r="E82" s="813" t="str">
        <f t="shared" ref="E82:E88" si="4">E11</f>
        <v>Eliminate 19X and Replace with US 50 Service (4 Round Trips)</v>
      </c>
      <c r="F82" s="802"/>
      <c r="G82" s="802"/>
      <c r="H82" s="815">
        <f>SUM(H11,H19,H27,H35)</f>
        <v>0</v>
      </c>
      <c r="I82" s="815">
        <f>SUM(I11,I19,I27,I35)</f>
        <v>185400</v>
      </c>
      <c r="J82" s="815">
        <f>SUM(J11,J19,J27,J35)</f>
        <v>0</v>
      </c>
      <c r="K82" s="815">
        <f>SUM(K11,K19,K27,K35)</f>
        <v>0</v>
      </c>
      <c r="L82" s="815">
        <f>SUM(L11,L19,L27,L35)</f>
        <v>0</v>
      </c>
      <c r="M82" s="816"/>
      <c r="N82" s="891">
        <f t="shared" ref="N82:N87" si="5">SUM(H82:L82)</f>
        <v>185400</v>
      </c>
      <c r="O82" s="807"/>
      <c r="P82" s="362"/>
      <c r="Q82" s="362"/>
      <c r="R82" s="481"/>
      <c r="S82" s="481"/>
      <c r="AA82" s="481"/>
      <c r="AB82" s="481"/>
    </row>
    <row r="83" spans="2:28" ht="21.9" customHeight="1" x14ac:dyDescent="0.3">
      <c r="C83" s="808"/>
      <c r="D83" s="803"/>
      <c r="E83" s="814" t="str">
        <f t="shared" si="4"/>
        <v>Seasonal Expansion of Route 28 to Spooner Mobility Hub</v>
      </c>
      <c r="F83" s="803"/>
      <c r="G83" s="803"/>
      <c r="H83" s="815">
        <f>SUM(H12,H20,I28,H36)</f>
        <v>2337100</v>
      </c>
      <c r="I83" s="815">
        <f t="shared" ref="I83:L88" si="6">SUM(I12,I20,I28,I36)</f>
        <v>810000</v>
      </c>
      <c r="J83" s="815">
        <f t="shared" si="6"/>
        <v>60400</v>
      </c>
      <c r="K83" s="815">
        <f t="shared" si="6"/>
        <v>0</v>
      </c>
      <c r="L83" s="815">
        <f t="shared" si="6"/>
        <v>0</v>
      </c>
      <c r="M83" s="817"/>
      <c r="N83" s="891">
        <f t="shared" si="5"/>
        <v>3207500</v>
      </c>
      <c r="O83" s="809"/>
      <c r="P83" s="362"/>
      <c r="Q83" s="362"/>
      <c r="R83" s="481"/>
      <c r="S83" s="481"/>
    </row>
    <row r="84" spans="2:28" ht="21.9" customHeight="1" x14ac:dyDescent="0.3">
      <c r="C84" s="808"/>
      <c r="D84" s="803"/>
      <c r="E84" s="814" t="str">
        <f t="shared" si="4"/>
        <v>Continue to Operate the Emerald Bay Shuttle (Route 30) Beyond the Pilot Period</v>
      </c>
      <c r="F84" s="803"/>
      <c r="G84" s="803"/>
      <c r="H84" s="815">
        <f>SUM(H13,H21,H29,H37)</f>
        <v>0</v>
      </c>
      <c r="I84" s="815">
        <f>SUM(I13,I21,I29,I37)</f>
        <v>3136800</v>
      </c>
      <c r="J84" s="815">
        <f t="shared" si="6"/>
        <v>0</v>
      </c>
      <c r="K84" s="815">
        <f t="shared" si="6"/>
        <v>0</v>
      </c>
      <c r="L84" s="815">
        <f t="shared" si="6"/>
        <v>0</v>
      </c>
      <c r="M84" s="817"/>
      <c r="N84" s="891">
        <f t="shared" si="5"/>
        <v>3136800</v>
      </c>
      <c r="O84" s="809"/>
      <c r="P84" s="362"/>
      <c r="Q84" s="362"/>
      <c r="R84" s="481"/>
      <c r="S84" s="481"/>
    </row>
    <row r="85" spans="2:28" s="481" customFormat="1" ht="21.9" customHeight="1" x14ac:dyDescent="0.3">
      <c r="B85"/>
      <c r="C85" s="808"/>
      <c r="D85" s="803"/>
      <c r="E85" s="814" t="str">
        <f t="shared" si="4"/>
        <v>Pilot Co-mingled Paratransit/Microtransit Service to Meyers</v>
      </c>
      <c r="F85" s="803"/>
      <c r="G85" s="803"/>
      <c r="H85" s="815">
        <f>SUM(H14,H22,H30,H38)</f>
        <v>6000</v>
      </c>
      <c r="I85" s="815">
        <f t="shared" si="6"/>
        <v>0</v>
      </c>
      <c r="J85" s="815">
        <f t="shared" si="6"/>
        <v>0</v>
      </c>
      <c r="K85" s="815">
        <f t="shared" si="6"/>
        <v>0</v>
      </c>
      <c r="L85" s="815">
        <f t="shared" si="6"/>
        <v>0</v>
      </c>
      <c r="M85" s="817"/>
      <c r="N85" s="891">
        <f t="shared" si="5"/>
        <v>6000</v>
      </c>
      <c r="O85" s="809"/>
      <c r="P85" s="362"/>
      <c r="Q85" s="362"/>
      <c r="T85"/>
      <c r="U85"/>
      <c r="V85"/>
      <c r="W85"/>
      <c r="X85"/>
      <c r="Y85"/>
      <c r="Z85"/>
      <c r="AA85"/>
      <c r="AB85"/>
    </row>
    <row r="86" spans="2:28" s="481" customFormat="1" ht="21.9" customHeight="1" x14ac:dyDescent="0.3">
      <c r="B86"/>
      <c r="C86" s="808"/>
      <c r="D86" s="803"/>
      <c r="E86" s="814" t="str">
        <f t="shared" si="4"/>
        <v>Discontinue Route 50 Deviation to LTCC</v>
      </c>
      <c r="F86" s="803"/>
      <c r="G86" s="803"/>
      <c r="H86" s="815">
        <f>SUM(H15,H23,H31,H39)</f>
        <v>0</v>
      </c>
      <c r="I86" s="815">
        <f t="shared" si="6"/>
        <v>0</v>
      </c>
      <c r="J86" s="815">
        <f t="shared" si="6"/>
        <v>0</v>
      </c>
      <c r="K86" s="815">
        <f t="shared" si="6"/>
        <v>0</v>
      </c>
      <c r="L86" s="815">
        <f t="shared" si="6"/>
        <v>0</v>
      </c>
      <c r="M86" s="817"/>
      <c r="N86" s="891">
        <f t="shared" si="5"/>
        <v>0</v>
      </c>
      <c r="O86" s="809"/>
      <c r="P86" s="362"/>
      <c r="Q86" s="362"/>
      <c r="T86"/>
      <c r="U86"/>
      <c r="V86"/>
      <c r="W86"/>
      <c r="X86"/>
      <c r="Y86"/>
      <c r="Z86"/>
      <c r="AA86"/>
      <c r="AB86"/>
    </row>
    <row r="87" spans="2:28" s="481" customFormat="1" ht="21.9" customHeight="1" x14ac:dyDescent="0.3">
      <c r="B87"/>
      <c r="C87" s="808"/>
      <c r="D87" s="803"/>
      <c r="E87" s="814" t="str">
        <f t="shared" si="4"/>
        <v>Reinstate TART Connect Service in Incline Village, NV</v>
      </c>
      <c r="F87" s="803"/>
      <c r="G87" s="803"/>
      <c r="H87" s="815">
        <f>SUM(H16,H24,H32,H40)</f>
        <v>0</v>
      </c>
      <c r="I87" s="815">
        <f t="shared" si="6"/>
        <v>0</v>
      </c>
      <c r="J87" s="815">
        <f t="shared" si="6"/>
        <v>0</v>
      </c>
      <c r="K87" s="815">
        <f t="shared" si="6"/>
        <v>0</v>
      </c>
      <c r="L87" s="815">
        <f t="shared" si="6"/>
        <v>0</v>
      </c>
      <c r="M87" s="817"/>
      <c r="N87" s="891">
        <f t="shared" si="5"/>
        <v>0</v>
      </c>
      <c r="O87" s="809"/>
      <c r="P87" s="362"/>
      <c r="Q87" s="362"/>
      <c r="T87"/>
      <c r="U87"/>
      <c r="V87"/>
      <c r="W87"/>
      <c r="X87"/>
      <c r="Y87"/>
      <c r="Z87"/>
      <c r="AA87"/>
      <c r="AB87"/>
    </row>
    <row r="88" spans="2:28" s="481" customFormat="1" ht="21.9" customHeight="1" x14ac:dyDescent="0.3">
      <c r="B88"/>
      <c r="C88" s="808"/>
      <c r="D88" s="803"/>
      <c r="E88" s="814" t="str">
        <f t="shared" si="4"/>
        <v>Increase Van Pools between Reno and Truckee/North Lake Tahoe</v>
      </c>
      <c r="F88" s="803"/>
      <c r="G88" s="803"/>
      <c r="H88" s="815">
        <f>SUM(H17,H25,H33,H41)</f>
        <v>0</v>
      </c>
      <c r="I88" s="815">
        <f t="shared" si="6"/>
        <v>0</v>
      </c>
      <c r="J88" s="815">
        <f t="shared" si="6"/>
        <v>0</v>
      </c>
      <c r="K88" s="815">
        <f t="shared" si="6"/>
        <v>0</v>
      </c>
      <c r="L88" s="815">
        <f t="shared" si="6"/>
        <v>0</v>
      </c>
      <c r="M88" s="817"/>
      <c r="N88" s="891">
        <f t="shared" ref="N88:N89" si="7">SUM(H88:L88)</f>
        <v>0</v>
      </c>
      <c r="O88" s="809"/>
      <c r="P88" s="362"/>
      <c r="Q88" s="362"/>
      <c r="T88"/>
      <c r="U88"/>
      <c r="V88"/>
      <c r="W88"/>
      <c r="X88"/>
      <c r="Y88"/>
      <c r="Z88"/>
      <c r="AA88"/>
      <c r="AB88"/>
    </row>
    <row r="89" spans="2:28" s="476" customFormat="1" ht="20.7" customHeight="1" x14ac:dyDescent="0.3">
      <c r="C89" s="808"/>
      <c r="D89" s="819"/>
      <c r="E89" s="1344" t="s">
        <v>336</v>
      </c>
      <c r="F89" s="893"/>
      <c r="G89" s="893"/>
      <c r="H89" s="894">
        <f>SUM(H82:H88)</f>
        <v>2343100</v>
      </c>
      <c r="I89" s="894">
        <f t="shared" ref="I89:L89" si="8">SUM(I82:I88)</f>
        <v>4132200</v>
      </c>
      <c r="J89" s="894">
        <f t="shared" si="8"/>
        <v>60400</v>
      </c>
      <c r="K89" s="894">
        <f t="shared" si="8"/>
        <v>0</v>
      </c>
      <c r="L89" s="894">
        <f t="shared" si="8"/>
        <v>0</v>
      </c>
      <c r="M89" s="893"/>
      <c r="N89" s="896">
        <f t="shared" si="7"/>
        <v>6535700</v>
      </c>
      <c r="O89" s="809"/>
      <c r="P89" s="362"/>
      <c r="Q89" s="362"/>
      <c r="R89" s="481"/>
      <c r="S89" s="481"/>
      <c r="T89"/>
      <c r="U89"/>
      <c r="V89"/>
      <c r="W89"/>
      <c r="X89"/>
      <c r="Y89"/>
      <c r="Z89"/>
      <c r="AA89"/>
      <c r="AB89" s="481"/>
    </row>
    <row r="90" spans="2:28" s="481" customFormat="1" ht="8.6999999999999993" customHeight="1" thickBot="1" x14ac:dyDescent="0.35">
      <c r="B90"/>
      <c r="C90" s="810"/>
      <c r="D90" s="811"/>
      <c r="E90" s="811"/>
      <c r="F90" s="811"/>
      <c r="G90" s="811"/>
      <c r="H90" s="811"/>
      <c r="I90" s="811"/>
      <c r="J90" s="811"/>
      <c r="K90" s="811"/>
      <c r="L90" s="811"/>
      <c r="M90" s="811"/>
      <c r="N90" s="811"/>
      <c r="O90" s="812"/>
      <c r="P90" s="362"/>
      <c r="Q90" s="362"/>
      <c r="T90"/>
      <c r="U90"/>
      <c r="V90"/>
      <c r="W90"/>
      <c r="X90"/>
      <c r="Y90"/>
      <c r="Z90"/>
      <c r="AA90"/>
      <c r="AB90"/>
    </row>
    <row r="91" spans="2:28" s="481" customFormat="1" x14ac:dyDescent="0.3">
      <c r="B91"/>
      <c r="C91"/>
      <c r="D91"/>
      <c r="E91"/>
      <c r="F91"/>
      <c r="G91"/>
      <c r="H91"/>
      <c r="I91"/>
      <c r="J91"/>
      <c r="K91"/>
      <c r="L91"/>
      <c r="M91"/>
      <c r="N91"/>
      <c r="O91"/>
      <c r="P91" s="362"/>
      <c r="Q91" s="362"/>
      <c r="T91"/>
      <c r="U91"/>
      <c r="V91"/>
      <c r="W91"/>
      <c r="X91"/>
      <c r="Y91"/>
      <c r="Z91"/>
      <c r="AA91"/>
      <c r="AB91"/>
    </row>
    <row r="92" spans="2:28" ht="15" thickBot="1" x14ac:dyDescent="0.35">
      <c r="P92" s="362"/>
      <c r="Q92" s="362"/>
      <c r="R92" s="481"/>
      <c r="S92" s="481"/>
    </row>
    <row r="93" spans="2:28" x14ac:dyDescent="0.3">
      <c r="B93" s="824" t="s">
        <v>310</v>
      </c>
      <c r="C93" s="487"/>
      <c r="D93" s="488"/>
      <c r="E93" s="488"/>
      <c r="F93" s="488"/>
      <c r="G93" s="488"/>
      <c r="H93" s="488"/>
      <c r="I93" s="488"/>
      <c r="J93" s="488"/>
      <c r="K93" s="488"/>
      <c r="L93" s="488"/>
      <c r="M93" s="488"/>
      <c r="N93" s="488"/>
      <c r="O93" s="489"/>
      <c r="P93" s="658"/>
      <c r="Q93" s="658"/>
      <c r="R93" s="659"/>
      <c r="S93" s="660"/>
      <c r="U93" s="476"/>
      <c r="V93" s="766" t="s">
        <v>302</v>
      </c>
      <c r="W93" s="767"/>
      <c r="X93" s="767"/>
      <c r="Y93" s="767"/>
      <c r="Z93" s="767"/>
      <c r="AA93" s="768" t="s">
        <v>305</v>
      </c>
      <c r="AB93" s="630"/>
    </row>
    <row r="94" spans="2:28" s="476" customFormat="1" ht="46.95" customHeight="1" x14ac:dyDescent="0.35">
      <c r="B94" s="664"/>
      <c r="C94" s="493"/>
      <c r="D94" s="1345" t="s">
        <v>894</v>
      </c>
      <c r="E94" s="590"/>
      <c r="F94" s="590"/>
      <c r="G94" s="590"/>
      <c r="H94" s="591"/>
      <c r="I94" s="591"/>
      <c r="J94" s="591"/>
      <c r="K94" s="591"/>
      <c r="L94" s="591"/>
      <c r="M94" s="591"/>
      <c r="N94" s="1364" t="s">
        <v>308</v>
      </c>
      <c r="O94" s="592"/>
      <c r="P94" s="593"/>
      <c r="Q94" s="593"/>
      <c r="R94" s="594"/>
      <c r="S94" s="595"/>
      <c r="V94" s="769" t="s">
        <v>303</v>
      </c>
      <c r="Z94" s="770"/>
      <c r="AA94" s="771">
        <v>151892.04</v>
      </c>
    </row>
    <row r="95" spans="2:28" s="476" customFormat="1" ht="15" customHeight="1" x14ac:dyDescent="0.3">
      <c r="B95" s="627"/>
      <c r="C95" s="596"/>
      <c r="D95" s="597"/>
      <c r="E95" s="598"/>
      <c r="F95" s="598"/>
      <c r="G95" s="598"/>
      <c r="H95" s="599"/>
      <c r="I95" s="599"/>
      <c r="J95" s="599"/>
      <c r="K95" s="599"/>
      <c r="L95" s="599"/>
      <c r="M95" s="599"/>
      <c r="N95" s="1364"/>
      <c r="O95" s="592"/>
      <c r="P95" s="600"/>
      <c r="Q95" s="600"/>
      <c r="R95" s="601"/>
      <c r="S95" s="602"/>
      <c r="V95" s="769"/>
      <c r="Z95" s="770"/>
      <c r="AA95" s="771"/>
    </row>
    <row r="96" spans="2:28" s="476" customFormat="1" ht="23.7" customHeight="1" x14ac:dyDescent="0.3">
      <c r="B96" s="627"/>
      <c r="C96" s="501"/>
      <c r="D96" s="584"/>
      <c r="E96" s="502" t="s">
        <v>787</v>
      </c>
      <c r="F96" s="583"/>
      <c r="G96" s="504"/>
      <c r="H96" s="505" t="s">
        <v>210</v>
      </c>
      <c r="I96" s="505" t="s">
        <v>227</v>
      </c>
      <c r="J96" s="505" t="s">
        <v>228</v>
      </c>
      <c r="K96" s="505" t="s">
        <v>229</v>
      </c>
      <c r="L96" s="505" t="s">
        <v>230</v>
      </c>
      <c r="M96" s="505"/>
      <c r="N96" s="1365"/>
      <c r="O96" s="603"/>
      <c r="P96" s="661" t="s">
        <v>246</v>
      </c>
      <c r="Q96" s="661"/>
      <c r="R96" s="662"/>
      <c r="S96" s="663"/>
      <c r="V96" s="772" t="s">
        <v>304</v>
      </c>
      <c r="W96" s="773"/>
      <c r="X96" s="773"/>
      <c r="Y96" s="774"/>
      <c r="Z96" s="775"/>
      <c r="AA96" s="776">
        <v>81000</v>
      </c>
      <c r="AB96" s="630"/>
    </row>
    <row r="97" spans="3:28" s="476" customFormat="1" ht="5.85" customHeight="1" x14ac:dyDescent="0.3">
      <c r="C97" s="804"/>
      <c r="D97" s="485"/>
      <c r="E97" s="651"/>
      <c r="F97" s="94"/>
      <c r="G97" s="94"/>
      <c r="H97" s="94"/>
      <c r="I97" s="820"/>
      <c r="J97" s="94"/>
      <c r="K97" s="94"/>
      <c r="L97" s="94"/>
      <c r="M97" s="94"/>
      <c r="N97" s="890"/>
      <c r="O97" s="21"/>
      <c r="P97" s="362"/>
      <c r="Q97" s="362"/>
      <c r="R97" s="481"/>
      <c r="S97" s="481"/>
      <c r="T97"/>
      <c r="U97"/>
      <c r="V97"/>
      <c r="W97"/>
      <c r="X97"/>
      <c r="Y97"/>
      <c r="Z97"/>
      <c r="AA97"/>
      <c r="AB97" s="481"/>
    </row>
    <row r="98" spans="3:28" s="476" customFormat="1" ht="21.9" customHeight="1" x14ac:dyDescent="0.3">
      <c r="C98" s="806"/>
      <c r="D98" s="818"/>
      <c r="E98" s="863" t="str">
        <f>E48</f>
        <v>Co-Branding Transit Services Under TART Brand</v>
      </c>
      <c r="F98" s="802"/>
      <c r="G98" s="802"/>
      <c r="H98" s="815">
        <f>H48</f>
        <v>5000</v>
      </c>
      <c r="I98" s="815">
        <f>I48</f>
        <v>5000</v>
      </c>
      <c r="J98" s="815">
        <f>J48</f>
        <v>448300</v>
      </c>
      <c r="K98" s="815">
        <f>K48</f>
        <v>0</v>
      </c>
      <c r="L98" s="815">
        <f>L48</f>
        <v>0</v>
      </c>
      <c r="M98" s="816"/>
      <c r="N98" s="891">
        <f t="shared" ref="N98:N102" si="9">SUM(H98:L98)</f>
        <v>458300</v>
      </c>
      <c r="O98" s="807"/>
      <c r="P98" s="362"/>
      <c r="Q98" s="362"/>
      <c r="R98" s="481"/>
      <c r="S98" s="481"/>
      <c r="T98"/>
      <c r="U98"/>
      <c r="V98"/>
      <c r="W98"/>
      <c r="X98"/>
      <c r="Y98"/>
      <c r="Z98"/>
      <c r="AA98"/>
      <c r="AB98" s="481"/>
    </row>
    <row r="99" spans="3:28" s="476" customFormat="1" ht="21.9" customHeight="1" x14ac:dyDescent="0.3">
      <c r="C99" s="806"/>
      <c r="D99" s="818"/>
      <c r="E99" s="863" t="str">
        <f>E52</f>
        <v>Transition of Lake Link Contract to TTD</v>
      </c>
      <c r="F99" s="802"/>
      <c r="G99" s="802"/>
      <c r="H99" s="815">
        <f>H52</f>
        <v>0</v>
      </c>
      <c r="I99" s="815">
        <f t="shared" ref="I99:L99" si="10">I52</f>
        <v>57300</v>
      </c>
      <c r="J99" s="815">
        <f t="shared" si="10"/>
        <v>0</v>
      </c>
      <c r="K99" s="815">
        <f t="shared" si="10"/>
        <v>0</v>
      </c>
      <c r="L99" s="815">
        <f t="shared" si="10"/>
        <v>0</v>
      </c>
      <c r="M99" s="816"/>
      <c r="N99" s="891">
        <f t="shared" si="9"/>
        <v>57300</v>
      </c>
      <c r="O99" s="807"/>
      <c r="P99" s="362"/>
      <c r="Q99" s="362"/>
      <c r="R99" s="481"/>
      <c r="S99" s="481"/>
      <c r="T99"/>
      <c r="U99"/>
      <c r="V99"/>
      <c r="W99"/>
      <c r="X99"/>
      <c r="Y99"/>
      <c r="Z99"/>
      <c r="AA99"/>
      <c r="AB99" s="481"/>
    </row>
    <row r="100" spans="3:28" s="476" customFormat="1" ht="21.9" customHeight="1" x14ac:dyDescent="0.3">
      <c r="C100" s="808"/>
      <c r="D100" s="819"/>
      <c r="E100" s="864" t="str">
        <f>E54</f>
        <v>Basin Wide Trip Planning Website</v>
      </c>
      <c r="F100" s="803"/>
      <c r="G100" s="803"/>
      <c r="H100" s="892">
        <f>H54</f>
        <v>0</v>
      </c>
      <c r="I100" s="892">
        <f t="shared" ref="I100:L100" si="11">I54</f>
        <v>20000</v>
      </c>
      <c r="J100" s="892">
        <f t="shared" si="11"/>
        <v>0</v>
      </c>
      <c r="K100" s="892">
        <f t="shared" si="11"/>
        <v>0</v>
      </c>
      <c r="L100" s="892">
        <f t="shared" si="11"/>
        <v>0</v>
      </c>
      <c r="M100" s="817"/>
      <c r="N100" s="891">
        <f t="shared" si="9"/>
        <v>20000</v>
      </c>
      <c r="O100" s="809"/>
      <c r="P100" s="362"/>
      <c r="Q100" s="362"/>
      <c r="R100" s="481"/>
      <c r="S100" s="481"/>
      <c r="T100"/>
      <c r="U100"/>
      <c r="V100"/>
      <c r="W100"/>
      <c r="X100"/>
      <c r="Y100"/>
      <c r="Z100"/>
      <c r="AA100"/>
      <c r="AB100" s="481"/>
    </row>
    <row r="101" spans="3:28" s="476" customFormat="1" ht="21.9" customHeight="1" x14ac:dyDescent="0.3">
      <c r="C101" s="808"/>
      <c r="D101" s="819"/>
      <c r="E101" s="864" t="str">
        <f>E55</f>
        <v>Creation of Transit Network Manager Position</v>
      </c>
      <c r="F101" s="803"/>
      <c r="G101" s="803"/>
      <c r="H101" s="892">
        <f>H55</f>
        <v>0</v>
      </c>
      <c r="I101" s="892">
        <f t="shared" ref="I101:L101" si="12">I55</f>
        <v>9000</v>
      </c>
      <c r="J101" s="892">
        <f t="shared" si="12"/>
        <v>0</v>
      </c>
      <c r="K101" s="892">
        <f t="shared" si="12"/>
        <v>0</v>
      </c>
      <c r="L101" s="892">
        <f t="shared" si="12"/>
        <v>0</v>
      </c>
      <c r="M101" s="817"/>
      <c r="N101" s="891">
        <f t="shared" si="9"/>
        <v>9000</v>
      </c>
      <c r="O101" s="809"/>
      <c r="P101" s="362"/>
      <c r="Q101" s="362"/>
      <c r="R101" s="481"/>
      <c r="S101" s="481"/>
      <c r="T101"/>
      <c r="U101"/>
      <c r="V101"/>
      <c r="W101"/>
      <c r="X101"/>
      <c r="Y101"/>
      <c r="Z101"/>
      <c r="AA101"/>
      <c r="AB101" s="481"/>
    </row>
    <row r="102" spans="3:28" s="476" customFormat="1" ht="21.9" customHeight="1" x14ac:dyDescent="0.3">
      <c r="C102" s="808"/>
      <c r="D102" s="819"/>
      <c r="E102" s="1344" t="s">
        <v>336</v>
      </c>
      <c r="F102" s="893"/>
      <c r="G102" s="893"/>
      <c r="H102" s="894">
        <f>SUM(H98:H101)</f>
        <v>5000</v>
      </c>
      <c r="I102" s="894">
        <f>SUM(I98:I101)</f>
        <v>91300</v>
      </c>
      <c r="J102" s="894">
        <f>SUM(J98:J101)</f>
        <v>448300</v>
      </c>
      <c r="K102" s="894">
        <f>SUM(K98:K101)</f>
        <v>0</v>
      </c>
      <c r="L102" s="894">
        <f>SUM(L98:L101)</f>
        <v>0</v>
      </c>
      <c r="M102" s="895"/>
      <c r="N102" s="896">
        <f t="shared" si="9"/>
        <v>544600</v>
      </c>
      <c r="O102" s="809"/>
      <c r="P102" s="362"/>
      <c r="Q102" s="362"/>
      <c r="R102" s="481"/>
      <c r="S102" s="481"/>
      <c r="T102"/>
      <c r="U102"/>
      <c r="V102"/>
      <c r="W102"/>
      <c r="X102"/>
      <c r="Y102"/>
      <c r="Z102"/>
      <c r="AA102"/>
      <c r="AB102" s="481"/>
    </row>
    <row r="103" spans="3:28" s="476" customFormat="1" ht="7.95" customHeight="1" thickBot="1" x14ac:dyDescent="0.35">
      <c r="C103" s="810"/>
      <c r="D103" s="647"/>
      <c r="E103" s="821"/>
      <c r="F103" s="811"/>
      <c r="G103" s="811"/>
      <c r="H103" s="811"/>
      <c r="I103" s="822"/>
      <c r="J103" s="811"/>
      <c r="K103" s="811"/>
      <c r="L103" s="811"/>
      <c r="M103" s="811"/>
      <c r="N103" s="811"/>
      <c r="O103" s="812"/>
      <c r="P103" s="362"/>
      <c r="Q103" s="362"/>
      <c r="R103" s="481"/>
      <c r="S103" s="481"/>
      <c r="T103"/>
      <c r="U103"/>
      <c r="V103"/>
      <c r="W103"/>
      <c r="X103"/>
      <c r="Y103"/>
      <c r="Z103"/>
      <c r="AA103"/>
      <c r="AB103" s="481"/>
    </row>
  </sheetData>
  <mergeCells count="5">
    <mergeCell ref="N78:N80"/>
    <mergeCell ref="N64:N66"/>
    <mergeCell ref="P8:R8"/>
    <mergeCell ref="N6:N8"/>
    <mergeCell ref="N94:N96"/>
  </mergeCells>
  <pageMargins left="0.7" right="0.7" top="0.75" bottom="0.75" header="0.3" footer="0.3"/>
  <pageSetup orientation="portrait" r:id="rId1"/>
  <ignoredErrors>
    <ignoredError sqref="H83"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F25A2-23A9-4BCD-9BAD-9F2A9F672421}">
  <sheetPr>
    <tabColor rgb="FF92D050"/>
  </sheetPr>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BDAB-A9C8-4876-BC59-1815D97B95D4}">
  <sheetPr>
    <tabColor rgb="FF92D050"/>
  </sheetPr>
  <dimension ref="A1:X33"/>
  <sheetViews>
    <sheetView workbookViewId="0">
      <selection activeCell="L25" sqref="L25"/>
    </sheetView>
  </sheetViews>
  <sheetFormatPr defaultRowHeight="14.4" x14ac:dyDescent="0.3"/>
  <cols>
    <col min="2" max="2" width="19.88671875" customWidth="1"/>
    <col min="3" max="3" width="11.44140625" customWidth="1"/>
    <col min="4" max="4" width="18.5546875" customWidth="1"/>
    <col min="6" max="6" width="12.109375" customWidth="1"/>
    <col min="7" max="7" width="10.88671875" bestFit="1" customWidth="1"/>
    <col min="8" max="8" width="10.88671875" customWidth="1"/>
    <col min="9" max="9" width="15.109375" customWidth="1"/>
    <col min="10" max="10" width="2.5546875" customWidth="1"/>
    <col min="23" max="24" width="12.109375" bestFit="1" customWidth="1"/>
  </cols>
  <sheetData>
    <row r="1" spans="1:24" x14ac:dyDescent="0.3">
      <c r="A1" s="467"/>
    </row>
    <row r="3" spans="1:24" x14ac:dyDescent="0.3">
      <c r="B3" s="116" t="s">
        <v>215</v>
      </c>
      <c r="C3" t="s">
        <v>210</v>
      </c>
    </row>
    <row r="5" spans="1:24" x14ac:dyDescent="0.3">
      <c r="B5" s="477" t="s">
        <v>211</v>
      </c>
    </row>
    <row r="6" spans="1:24" x14ac:dyDescent="0.3">
      <c r="C6" t="s">
        <v>677</v>
      </c>
      <c r="D6" s="915" t="s">
        <v>216</v>
      </c>
      <c r="E6" s="915" t="s">
        <v>217</v>
      </c>
      <c r="F6" s="1378" t="s">
        <v>250</v>
      </c>
      <c r="G6" s="1378"/>
      <c r="H6" s="940"/>
      <c r="I6" s="915" t="s">
        <v>221</v>
      </c>
      <c r="K6" t="s">
        <v>218</v>
      </c>
    </row>
    <row r="7" spans="1:24" x14ac:dyDescent="0.3">
      <c r="B7" t="s">
        <v>359</v>
      </c>
      <c r="C7" t="str">
        <f>D27</f>
        <v>TTDTTD</v>
      </c>
      <c r="D7" s="1073">
        <v>123.17</v>
      </c>
      <c r="E7" s="1074">
        <v>1.6</v>
      </c>
      <c r="F7" s="1075">
        <v>2077415.1711924581</v>
      </c>
      <c r="G7" s="1074"/>
      <c r="H7" s="1074"/>
      <c r="I7" s="1074">
        <v>214.66</v>
      </c>
      <c r="J7" s="467"/>
      <c r="K7" t="s">
        <v>222</v>
      </c>
    </row>
    <row r="8" spans="1:24" x14ac:dyDescent="0.3">
      <c r="B8" t="s">
        <v>360</v>
      </c>
      <c r="C8" t="str">
        <f>D27</f>
        <v>TTDTTD</v>
      </c>
      <c r="D8" s="1073">
        <f>D7</f>
        <v>123.17</v>
      </c>
      <c r="E8" s="1073">
        <f>E7</f>
        <v>1.6</v>
      </c>
      <c r="F8" s="1075"/>
      <c r="G8" s="1074"/>
      <c r="H8" s="1074"/>
      <c r="I8" s="1074">
        <f>I7</f>
        <v>214.66</v>
      </c>
      <c r="J8" s="467"/>
      <c r="K8" t="s">
        <v>222</v>
      </c>
    </row>
    <row r="9" spans="1:24" x14ac:dyDescent="0.3">
      <c r="B9" t="s">
        <v>212</v>
      </c>
      <c r="C9" t="str">
        <f>D29</f>
        <v>SSTMAVia</v>
      </c>
      <c r="D9" s="1073">
        <v>65.23</v>
      </c>
      <c r="E9" s="1074"/>
      <c r="F9" s="1075">
        <v>43215</v>
      </c>
      <c r="G9" s="1075">
        <v>27195</v>
      </c>
      <c r="H9" s="1075">
        <f>90000+1650+840</f>
        <v>92490</v>
      </c>
      <c r="I9" s="1074">
        <v>68.7</v>
      </c>
      <c r="J9" s="467"/>
      <c r="K9" t="s">
        <v>550</v>
      </c>
    </row>
    <row r="10" spans="1:24" x14ac:dyDescent="0.3">
      <c r="B10" t="s">
        <v>684</v>
      </c>
      <c r="C10" t="str">
        <f>D28</f>
        <v>TTDVia</v>
      </c>
      <c r="D10" s="1074"/>
      <c r="E10" s="1074"/>
      <c r="F10" s="1075"/>
      <c r="G10" s="1074"/>
      <c r="H10" s="1074"/>
      <c r="I10" s="1074">
        <v>147.80000000000001</v>
      </c>
    </row>
    <row r="11" spans="1:24" x14ac:dyDescent="0.3">
      <c r="D11" s="1074"/>
      <c r="E11" s="1074"/>
      <c r="F11" s="1075"/>
      <c r="G11" s="1074"/>
      <c r="H11" s="1074"/>
      <c r="I11" s="1074"/>
    </row>
    <row r="12" spans="1:24" x14ac:dyDescent="0.3">
      <c r="B12" s="477" t="s">
        <v>213</v>
      </c>
      <c r="D12" s="1074"/>
      <c r="E12" s="1074"/>
      <c r="F12" s="1075"/>
      <c r="G12" s="1074"/>
      <c r="H12" s="1074"/>
      <c r="I12" s="1074"/>
    </row>
    <row r="13" spans="1:24" x14ac:dyDescent="0.3">
      <c r="D13" s="1074"/>
      <c r="E13" s="1074"/>
      <c r="F13" s="1075"/>
      <c r="G13" s="1074"/>
      <c r="H13" s="1074"/>
      <c r="I13" s="1074"/>
    </row>
    <row r="14" spans="1:24" x14ac:dyDescent="0.3">
      <c r="B14" t="s">
        <v>361</v>
      </c>
      <c r="C14" t="str">
        <f>D30</f>
        <v>TARTTART</v>
      </c>
      <c r="D14" s="1074">
        <v>66.45</v>
      </c>
      <c r="E14" s="1074">
        <v>1.7</v>
      </c>
      <c r="F14" s="1075">
        <v>3188061.3269356806</v>
      </c>
      <c r="G14" s="1074"/>
      <c r="H14" s="1074"/>
      <c r="I14" s="1074">
        <v>185.83</v>
      </c>
      <c r="J14" s="467"/>
      <c r="K14" t="s">
        <v>219</v>
      </c>
      <c r="W14" t="s">
        <v>224</v>
      </c>
      <c r="X14" t="s">
        <v>225</v>
      </c>
    </row>
    <row r="15" spans="1:24" x14ac:dyDescent="0.3">
      <c r="B15" t="s">
        <v>214</v>
      </c>
      <c r="C15" t="str">
        <f>D32</f>
        <v>TARTDowntowner</v>
      </c>
      <c r="D15" s="1074">
        <v>46.56</v>
      </c>
      <c r="E15" s="1074"/>
      <c r="F15" s="1075">
        <v>1724488</v>
      </c>
      <c r="G15" s="1074"/>
      <c r="H15" s="1074"/>
      <c r="I15" s="1074">
        <v>107.23</v>
      </c>
      <c r="J15" s="467"/>
      <c r="K15" t="s">
        <v>220</v>
      </c>
      <c r="W15" s="361">
        <f>'[32]TART cost model 24-25'!$B$44</f>
        <v>4003350</v>
      </c>
      <c r="X15" s="478">
        <f>W15*(1.05)^2</f>
        <v>4413693.375</v>
      </c>
    </row>
    <row r="16" spans="1:24" x14ac:dyDescent="0.3">
      <c r="B16" t="s">
        <v>655</v>
      </c>
      <c r="C16" t="str">
        <f>D31</f>
        <v>TARTTruckee</v>
      </c>
      <c r="D16" s="1074">
        <v>127.77783520361685</v>
      </c>
      <c r="E16" s="1074"/>
      <c r="F16" s="1075">
        <v>9338.3477158400019</v>
      </c>
      <c r="G16" s="1074"/>
      <c r="H16" s="1074"/>
      <c r="I16" s="1074">
        <v>134.52932651755168</v>
      </c>
      <c r="J16" s="467"/>
      <c r="K16" t="s">
        <v>219</v>
      </c>
      <c r="W16" s="361"/>
      <c r="X16" s="478"/>
    </row>
    <row r="17" spans="1:14" x14ac:dyDescent="0.3">
      <c r="D17" s="1074"/>
      <c r="E17" s="1074"/>
      <c r="F17" s="1074"/>
      <c r="G17" s="1074"/>
      <c r="H17" s="1074"/>
      <c r="I17" s="1074"/>
    </row>
    <row r="18" spans="1:14" x14ac:dyDescent="0.3">
      <c r="A18" t="s">
        <v>223</v>
      </c>
      <c r="B18" t="s">
        <v>646</v>
      </c>
      <c r="D18" s="1074"/>
      <c r="E18" s="1074"/>
      <c r="F18" s="1074"/>
      <c r="G18" s="1074"/>
      <c r="H18" s="1074"/>
      <c r="I18" s="1074">
        <f>284.34*(1+0.03)^2</f>
        <v>301.65630599999997</v>
      </c>
      <c r="J18" s="467"/>
      <c r="K18" t="s">
        <v>650</v>
      </c>
    </row>
    <row r="19" spans="1:14" x14ac:dyDescent="0.3">
      <c r="B19" t="s">
        <v>647</v>
      </c>
      <c r="D19" s="1074"/>
      <c r="E19" s="1074"/>
      <c r="F19" s="1074"/>
      <c r="G19" s="1074"/>
      <c r="H19" s="1074"/>
      <c r="I19" s="1074">
        <f>96.85*(1+0.03)^2</f>
        <v>102.74816499999999</v>
      </c>
      <c r="J19" s="467"/>
      <c r="K19" t="s">
        <v>650</v>
      </c>
    </row>
    <row r="20" spans="1:14" x14ac:dyDescent="0.3">
      <c r="B20" t="s">
        <v>648</v>
      </c>
      <c r="C20" t="str">
        <f>D33</f>
        <v>TNTTMAMRTW</v>
      </c>
      <c r="D20" s="325"/>
      <c r="E20" s="325"/>
      <c r="F20" s="325"/>
      <c r="G20" s="325"/>
      <c r="H20" s="325"/>
      <c r="I20" s="1074">
        <f>195.13*(1.03)</f>
        <v>200.98390000000001</v>
      </c>
      <c r="K20" t="s">
        <v>651</v>
      </c>
    </row>
    <row r="21" spans="1:14" x14ac:dyDescent="0.3">
      <c r="B21" t="s">
        <v>649</v>
      </c>
      <c r="D21" s="325"/>
      <c r="E21" s="325"/>
      <c r="F21" s="325"/>
      <c r="G21" s="325"/>
      <c r="H21" s="325"/>
      <c r="I21" s="1074">
        <f>128.75*1.03</f>
        <v>132.61250000000001</v>
      </c>
      <c r="K21" t="s">
        <v>651</v>
      </c>
    </row>
    <row r="24" spans="1:14" x14ac:dyDescent="0.3">
      <c r="D24" s="467"/>
    </row>
    <row r="25" spans="1:14" x14ac:dyDescent="0.3">
      <c r="B25" t="s">
        <v>675</v>
      </c>
      <c r="D25" s="467"/>
    </row>
    <row r="27" spans="1:14" x14ac:dyDescent="0.3">
      <c r="B27" t="s">
        <v>148</v>
      </c>
      <c r="C27" t="s">
        <v>148</v>
      </c>
      <c r="D27" t="str">
        <f>CONCATENATE(B27,C27)</f>
        <v>TTDTTD</v>
      </c>
    </row>
    <row r="28" spans="1:14" x14ac:dyDescent="0.3">
      <c r="B28" t="s">
        <v>148</v>
      </c>
      <c r="C28" t="s">
        <v>657</v>
      </c>
      <c r="D28" t="str">
        <f>CONCATENATE(B28,C28)</f>
        <v>TTDVia</v>
      </c>
    </row>
    <row r="29" spans="1:14" x14ac:dyDescent="0.3">
      <c r="B29" t="s">
        <v>370</v>
      </c>
      <c r="C29" t="s">
        <v>657</v>
      </c>
      <c r="D29" t="str">
        <f>CONCATENATE(B29,C29)</f>
        <v>SSTMAVia</v>
      </c>
    </row>
    <row r="30" spans="1:14" x14ac:dyDescent="0.3">
      <c r="B30" t="s">
        <v>195</v>
      </c>
      <c r="C30" t="s">
        <v>195</v>
      </c>
      <c r="D30" t="str">
        <f t="shared" ref="D30:D33" si="0">CONCATENATE(B30,C30)</f>
        <v>TARTTART</v>
      </c>
      <c r="N30" t="s">
        <v>243</v>
      </c>
    </row>
    <row r="31" spans="1:14" x14ac:dyDescent="0.3">
      <c r="B31" t="s">
        <v>195</v>
      </c>
      <c r="C31" t="s">
        <v>671</v>
      </c>
      <c r="D31" t="str">
        <f t="shared" si="0"/>
        <v>TARTTruckee</v>
      </c>
    </row>
    <row r="32" spans="1:14" x14ac:dyDescent="0.3">
      <c r="B32" t="s">
        <v>195</v>
      </c>
      <c r="C32" t="s">
        <v>656</v>
      </c>
      <c r="D32" t="str">
        <f t="shared" si="0"/>
        <v>TARTDowntowner</v>
      </c>
    </row>
    <row r="33" spans="2:4" x14ac:dyDescent="0.3">
      <c r="B33" t="s">
        <v>565</v>
      </c>
      <c r="C33" t="s">
        <v>658</v>
      </c>
      <c r="D33" t="str">
        <f t="shared" si="0"/>
        <v>TNTTMAMRTW</v>
      </c>
    </row>
  </sheetData>
  <mergeCells count="1">
    <mergeCell ref="F6:G6"/>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59F17-5ED2-48E8-BF94-2DDA11A45DE7}">
  <sheetPr>
    <tabColor rgb="FF92D050"/>
  </sheetPr>
  <dimension ref="B2:D10"/>
  <sheetViews>
    <sheetView workbookViewId="0"/>
  </sheetViews>
  <sheetFormatPr defaultRowHeight="14.4" x14ac:dyDescent="0.3"/>
  <cols>
    <col min="2" max="2" width="11.88671875" customWidth="1"/>
    <col min="3" max="3" width="20.109375" customWidth="1"/>
    <col min="4" max="4" width="16.109375" customWidth="1"/>
  </cols>
  <sheetData>
    <row r="2" spans="2:4" x14ac:dyDescent="0.3">
      <c r="B2" s="469"/>
      <c r="C2" s="115"/>
      <c r="D2" s="115"/>
    </row>
    <row r="3" spans="2:4" x14ac:dyDescent="0.3">
      <c r="B3" s="1379" t="s">
        <v>364</v>
      </c>
      <c r="C3" s="1379"/>
      <c r="D3" s="468"/>
    </row>
    <row r="4" spans="2:4" x14ac:dyDescent="0.3">
      <c r="B4" s="926"/>
      <c r="C4" s="926"/>
      <c r="D4" s="468"/>
    </row>
    <row r="5" spans="2:4" x14ac:dyDescent="0.3">
      <c r="B5" s="469"/>
      <c r="C5" s="115" t="s">
        <v>148</v>
      </c>
      <c r="D5" s="468" t="s">
        <v>195</v>
      </c>
    </row>
    <row r="6" spans="2:4" x14ac:dyDescent="0.3">
      <c r="B6" s="471" t="s">
        <v>200</v>
      </c>
      <c r="C6" s="470">
        <v>0</v>
      </c>
      <c r="D6" s="470">
        <v>0</v>
      </c>
    </row>
    <row r="7" spans="2:4" x14ac:dyDescent="0.3">
      <c r="B7" s="116" t="s">
        <v>114</v>
      </c>
      <c r="C7" s="470">
        <v>0</v>
      </c>
      <c r="D7" s="470">
        <v>0</v>
      </c>
    </row>
    <row r="8" spans="2:4" x14ac:dyDescent="0.3">
      <c r="B8" s="116" t="s">
        <v>197</v>
      </c>
      <c r="C8" s="470">
        <v>0</v>
      </c>
      <c r="D8" s="470">
        <v>0</v>
      </c>
    </row>
    <row r="9" spans="2:4" x14ac:dyDescent="0.3">
      <c r="B9" s="116" t="s">
        <v>198</v>
      </c>
      <c r="C9" s="470">
        <v>0</v>
      </c>
      <c r="D9" s="470">
        <v>0</v>
      </c>
    </row>
    <row r="10" spans="2:4" x14ac:dyDescent="0.3">
      <c r="B10" s="116" t="s">
        <v>392</v>
      </c>
      <c r="C10" s="470">
        <v>5</v>
      </c>
    </row>
  </sheetData>
  <mergeCells count="1">
    <mergeCell ref="B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0AB94-13BF-4269-BF7E-89547784EA2F}">
  <sheetPr>
    <tabColor rgb="FF92D050"/>
  </sheetPr>
  <dimension ref="B3:K46"/>
  <sheetViews>
    <sheetView workbookViewId="0">
      <selection activeCell="J28" sqref="J28"/>
    </sheetView>
  </sheetViews>
  <sheetFormatPr defaultRowHeight="14.4" x14ac:dyDescent="0.3"/>
  <cols>
    <col min="2" max="2" width="16.44140625" customWidth="1"/>
    <col min="3" max="3" width="10.5546875" customWidth="1"/>
    <col min="4" max="4" width="14.109375" customWidth="1"/>
    <col min="5" max="5" width="10.88671875" customWidth="1"/>
    <col min="6" max="6" width="12.5546875" customWidth="1"/>
    <col min="7" max="7" width="11.44140625" customWidth="1"/>
  </cols>
  <sheetData>
    <row r="3" spans="2:11" x14ac:dyDescent="0.3">
      <c r="D3" t="s">
        <v>375</v>
      </c>
    </row>
    <row r="6" spans="2:11" s="116" customFormat="1" ht="28.95" customHeight="1" x14ac:dyDescent="0.3">
      <c r="B6" s="928" t="s">
        <v>669</v>
      </c>
      <c r="C6" s="116" t="s">
        <v>668</v>
      </c>
      <c r="D6" s="116" t="s">
        <v>368</v>
      </c>
      <c r="E6" s="928" t="s">
        <v>365</v>
      </c>
      <c r="F6" s="928" t="s">
        <v>366</v>
      </c>
      <c r="G6" s="928" t="s">
        <v>367</v>
      </c>
      <c r="H6" s="116" t="s">
        <v>376</v>
      </c>
    </row>
    <row r="7" spans="2:11" x14ac:dyDescent="0.3">
      <c r="B7" s="1078" t="s">
        <v>369</v>
      </c>
      <c r="C7" s="1078" t="s">
        <v>148</v>
      </c>
      <c r="D7" s="1078" t="s">
        <v>148</v>
      </c>
      <c r="E7" s="1079">
        <v>10747</v>
      </c>
      <c r="F7" s="1079">
        <v>2250.4</v>
      </c>
      <c r="G7" s="1079">
        <v>61381</v>
      </c>
      <c r="H7" s="927" t="s">
        <v>224</v>
      </c>
    </row>
    <row r="8" spans="2:11" x14ac:dyDescent="0.3">
      <c r="B8" s="1080">
        <v>22</v>
      </c>
      <c r="C8" s="1078" t="s">
        <v>148</v>
      </c>
      <c r="D8" s="1078" t="s">
        <v>148</v>
      </c>
      <c r="E8" s="1079">
        <v>18457</v>
      </c>
      <c r="F8" s="1079">
        <v>4409.6000000000004</v>
      </c>
      <c r="G8" s="1079">
        <v>121654</v>
      </c>
      <c r="H8" s="927" t="s">
        <v>224</v>
      </c>
    </row>
    <row r="9" spans="2:11" x14ac:dyDescent="0.3">
      <c r="B9" s="1080">
        <v>28</v>
      </c>
      <c r="C9" s="1078" t="s">
        <v>148</v>
      </c>
      <c r="D9" s="1078" t="s">
        <v>148</v>
      </c>
      <c r="E9" s="1079">
        <v>24699</v>
      </c>
      <c r="F9" s="1079">
        <v>1192.7</v>
      </c>
      <c r="G9" s="1079">
        <v>22330</v>
      </c>
      <c r="H9" s="927" t="s">
        <v>224</v>
      </c>
    </row>
    <row r="10" spans="2:11" x14ac:dyDescent="0.3">
      <c r="B10" s="1080">
        <v>30</v>
      </c>
      <c r="C10" s="1078" t="s">
        <v>148</v>
      </c>
      <c r="D10" s="1078" t="s">
        <v>657</v>
      </c>
      <c r="E10" s="1079">
        <v>10700</v>
      </c>
      <c r="F10" s="1079">
        <v>3500</v>
      </c>
      <c r="G10" s="1079">
        <v>9850</v>
      </c>
      <c r="H10" s="927" t="s">
        <v>683</v>
      </c>
      <c r="I10" t="s">
        <v>378</v>
      </c>
    </row>
    <row r="11" spans="2:11" x14ac:dyDescent="0.3">
      <c r="B11" s="1080">
        <v>50</v>
      </c>
      <c r="C11" s="1078" t="s">
        <v>148</v>
      </c>
      <c r="D11" s="1078" t="s">
        <v>148</v>
      </c>
      <c r="E11" s="1079">
        <v>170332</v>
      </c>
      <c r="F11" s="1079">
        <v>9418.6</v>
      </c>
      <c r="G11" s="1079">
        <v>134562</v>
      </c>
      <c r="H11" s="927" t="s">
        <v>224</v>
      </c>
    </row>
    <row r="12" spans="2:11" x14ac:dyDescent="0.3">
      <c r="B12" s="1080">
        <v>51</v>
      </c>
      <c r="C12" s="1078" t="s">
        <v>148</v>
      </c>
      <c r="D12" s="1078" t="s">
        <v>148</v>
      </c>
      <c r="E12" s="1079">
        <v>115</v>
      </c>
      <c r="F12" s="1079">
        <v>167</v>
      </c>
      <c r="G12" s="1079">
        <v>1700</v>
      </c>
      <c r="H12" s="927" t="s">
        <v>224</v>
      </c>
      <c r="K12" s="281"/>
    </row>
    <row r="13" spans="2:11" x14ac:dyDescent="0.3">
      <c r="B13" s="1080">
        <v>55</v>
      </c>
      <c r="C13" s="1078" t="s">
        <v>148</v>
      </c>
      <c r="D13" s="1078" t="s">
        <v>148</v>
      </c>
      <c r="E13" s="1079">
        <v>55609</v>
      </c>
      <c r="F13" s="1079">
        <v>9312.2000000000007</v>
      </c>
      <c r="G13" s="1079">
        <v>111689</v>
      </c>
      <c r="H13" s="927" t="s">
        <v>224</v>
      </c>
    </row>
    <row r="14" spans="2:11" x14ac:dyDescent="0.3">
      <c r="B14" s="1078" t="s">
        <v>371</v>
      </c>
      <c r="C14" s="1078" t="s">
        <v>148</v>
      </c>
      <c r="D14" s="1078" t="s">
        <v>148</v>
      </c>
      <c r="E14" s="1079">
        <v>14556</v>
      </c>
      <c r="F14" s="1079">
        <v>5429</v>
      </c>
      <c r="G14" s="1079">
        <v>71677</v>
      </c>
      <c r="H14" s="927" t="s">
        <v>224</v>
      </c>
    </row>
    <row r="15" spans="2:11" x14ac:dyDescent="0.3">
      <c r="B15" s="1078" t="s">
        <v>212</v>
      </c>
      <c r="C15" s="1078" t="s">
        <v>370</v>
      </c>
      <c r="D15" s="1078" t="s">
        <v>657</v>
      </c>
      <c r="E15" s="1079">
        <v>223047</v>
      </c>
      <c r="F15" s="1079">
        <v>47002</v>
      </c>
      <c r="G15" s="1079">
        <v>366322</v>
      </c>
      <c r="H15" s="927" t="s">
        <v>377</v>
      </c>
      <c r="I15" t="s">
        <v>542</v>
      </c>
    </row>
    <row r="16" spans="2:11" x14ac:dyDescent="0.3">
      <c r="B16" s="1081" t="s">
        <v>659</v>
      </c>
      <c r="C16" s="1078" t="s">
        <v>370</v>
      </c>
      <c r="D16" s="1078" t="s">
        <v>657</v>
      </c>
      <c r="E16" s="1082"/>
      <c r="F16" s="1082">
        <f>F15/3</f>
        <v>15667.333333333334</v>
      </c>
      <c r="G16" s="1082">
        <f>G15/3</f>
        <v>122107.33333333333</v>
      </c>
      <c r="H16" s="927"/>
      <c r="I16" t="s">
        <v>667</v>
      </c>
    </row>
    <row r="17" spans="2:10" x14ac:dyDescent="0.3">
      <c r="B17" s="1081" t="s">
        <v>660</v>
      </c>
      <c r="C17" s="1078" t="s">
        <v>370</v>
      </c>
      <c r="D17" s="1078" t="s">
        <v>657</v>
      </c>
      <c r="E17" s="1082"/>
      <c r="F17" s="1082">
        <f>F15/3</f>
        <v>15667.333333333334</v>
      </c>
      <c r="G17" s="1082">
        <f>G15/3</f>
        <v>122107.33333333333</v>
      </c>
      <c r="H17" s="927"/>
      <c r="I17" t="s">
        <v>667</v>
      </c>
    </row>
    <row r="18" spans="2:10" x14ac:dyDescent="0.3">
      <c r="B18" s="1081" t="s">
        <v>661</v>
      </c>
      <c r="C18" s="1078" t="s">
        <v>370</v>
      </c>
      <c r="D18" s="1078" t="s">
        <v>657</v>
      </c>
      <c r="E18" s="1082"/>
      <c r="F18" s="1082">
        <f>F15/3</f>
        <v>15667.333333333334</v>
      </c>
      <c r="G18" s="1082">
        <f>G15/3</f>
        <v>122107.33333333333</v>
      </c>
      <c r="H18" s="927"/>
      <c r="I18" t="s">
        <v>667</v>
      </c>
    </row>
    <row r="19" spans="2:10" x14ac:dyDescent="0.3">
      <c r="B19" s="1078" t="s">
        <v>372</v>
      </c>
      <c r="C19" s="1078" t="s">
        <v>195</v>
      </c>
      <c r="D19" s="1078" t="s">
        <v>195</v>
      </c>
      <c r="E19" s="1079">
        <v>21205</v>
      </c>
      <c r="F19" s="1079">
        <v>4237.5</v>
      </c>
      <c r="G19" s="1079">
        <v>82391.099999999977</v>
      </c>
      <c r="H19" s="927" t="s">
        <v>377</v>
      </c>
    </row>
    <row r="20" spans="2:10" x14ac:dyDescent="0.3">
      <c r="B20" s="1078" t="s">
        <v>373</v>
      </c>
      <c r="C20" s="1078" t="s">
        <v>195</v>
      </c>
      <c r="D20" s="1078" t="s">
        <v>195</v>
      </c>
      <c r="E20" s="1079">
        <v>92011</v>
      </c>
      <c r="F20" s="1079">
        <v>4983.5</v>
      </c>
      <c r="G20" s="1079">
        <v>113132.10000000002</v>
      </c>
      <c r="H20" s="927" t="s">
        <v>377</v>
      </c>
    </row>
    <row r="21" spans="2:10" x14ac:dyDescent="0.3">
      <c r="B21" s="1078" t="s">
        <v>187</v>
      </c>
      <c r="C21" s="1078" t="s">
        <v>195</v>
      </c>
      <c r="D21" s="1078" t="s">
        <v>195</v>
      </c>
      <c r="E21" s="1079">
        <v>34977</v>
      </c>
      <c r="F21" s="1079">
        <v>4219.3125</v>
      </c>
      <c r="G21" s="1079">
        <v>63697</v>
      </c>
      <c r="H21" s="927" t="s">
        <v>377</v>
      </c>
    </row>
    <row r="22" spans="2:10" s="94" customFormat="1" x14ac:dyDescent="0.3">
      <c r="B22" s="1084" t="s">
        <v>670</v>
      </c>
      <c r="C22" s="1084" t="s">
        <v>195</v>
      </c>
      <c r="D22" s="1084" t="s">
        <v>195</v>
      </c>
      <c r="E22" s="1085">
        <f>SUM(E19:E21)</f>
        <v>148193</v>
      </c>
      <c r="F22" s="1085">
        <f t="shared" ref="F22:G22" si="0">SUM(F19:F21)</f>
        <v>13440.3125</v>
      </c>
      <c r="G22" s="1085">
        <f t="shared" si="0"/>
        <v>259220.2</v>
      </c>
      <c r="H22" s="1086"/>
    </row>
    <row r="23" spans="2:10" x14ac:dyDescent="0.3">
      <c r="B23" s="1078">
        <v>89</v>
      </c>
      <c r="C23" s="1078" t="s">
        <v>195</v>
      </c>
      <c r="D23" s="1078" t="s">
        <v>195</v>
      </c>
      <c r="E23" s="1079">
        <v>71136</v>
      </c>
      <c r="F23" s="1079">
        <v>8331.75</v>
      </c>
      <c r="G23" s="1079">
        <v>167948.69999999998</v>
      </c>
      <c r="H23" s="927" t="s">
        <v>377</v>
      </c>
    </row>
    <row r="24" spans="2:10" x14ac:dyDescent="0.3">
      <c r="B24" s="1078">
        <v>267</v>
      </c>
      <c r="C24" s="1078" t="s">
        <v>195</v>
      </c>
      <c r="D24" s="1078" t="s">
        <v>195</v>
      </c>
      <c r="E24" s="1079">
        <v>73556</v>
      </c>
      <c r="F24" s="1079">
        <v>8420.2333333333336</v>
      </c>
      <c r="G24" s="1079">
        <v>176999.30000000002</v>
      </c>
      <c r="H24" s="927" t="s">
        <v>377</v>
      </c>
    </row>
    <row r="25" spans="2:10" x14ac:dyDescent="0.3">
      <c r="B25" s="1078" t="s">
        <v>374</v>
      </c>
      <c r="C25" s="1078" t="s">
        <v>195</v>
      </c>
      <c r="D25" s="1078" t="s">
        <v>195</v>
      </c>
      <c r="E25" s="1079">
        <v>4725</v>
      </c>
      <c r="F25" s="1079">
        <v>2985</v>
      </c>
      <c r="G25" s="1079">
        <v>57781.19999999999</v>
      </c>
      <c r="H25" s="927" t="s">
        <v>377</v>
      </c>
    </row>
    <row r="26" spans="2:10" x14ac:dyDescent="0.3">
      <c r="B26" s="1078" t="s">
        <v>371</v>
      </c>
      <c r="C26" s="1078" t="s">
        <v>195</v>
      </c>
      <c r="D26" s="1078" t="s">
        <v>671</v>
      </c>
      <c r="E26" s="1079">
        <v>3573</v>
      </c>
      <c r="F26" s="1079">
        <v>1951.6499999999996</v>
      </c>
      <c r="G26" s="1079">
        <v>34749</v>
      </c>
      <c r="H26" s="927" t="s">
        <v>377</v>
      </c>
    </row>
    <row r="27" spans="2:10" x14ac:dyDescent="0.3">
      <c r="B27" s="1078" t="s">
        <v>666</v>
      </c>
      <c r="C27" s="1078" t="s">
        <v>195</v>
      </c>
      <c r="D27" s="1078" t="s">
        <v>656</v>
      </c>
      <c r="E27" s="1079">
        <v>157369</v>
      </c>
      <c r="F27" s="1079">
        <v>27342.510000000006</v>
      </c>
      <c r="G27" s="1079">
        <v>544888.71000000031</v>
      </c>
      <c r="H27" s="927" t="s">
        <v>377</v>
      </c>
      <c r="J27">
        <f>E27/F27</f>
        <v>5.755470145206127</v>
      </c>
    </row>
    <row r="28" spans="2:10" x14ac:dyDescent="0.3">
      <c r="B28" s="1081" t="s">
        <v>662</v>
      </c>
      <c r="C28" s="1078" t="s">
        <v>195</v>
      </c>
      <c r="D28" s="1078" t="s">
        <v>656</v>
      </c>
      <c r="E28" s="1083"/>
      <c r="F28" s="1083">
        <f>F27/3</f>
        <v>9114.1700000000019</v>
      </c>
      <c r="G28" s="1083">
        <f>G27/3</f>
        <v>181629.57000000009</v>
      </c>
      <c r="H28" s="927"/>
      <c r="I28" t="s">
        <v>667</v>
      </c>
    </row>
    <row r="29" spans="2:10" x14ac:dyDescent="0.3">
      <c r="B29" s="1081" t="s">
        <v>663</v>
      </c>
      <c r="C29" s="1078" t="s">
        <v>195</v>
      </c>
      <c r="D29" s="1078" t="s">
        <v>656</v>
      </c>
      <c r="E29" s="1083"/>
      <c r="F29" s="1083">
        <f>F27/3</f>
        <v>9114.1700000000019</v>
      </c>
      <c r="G29" s="1083">
        <f>G27/3</f>
        <v>181629.57000000009</v>
      </c>
      <c r="H29" s="927"/>
      <c r="I29" t="s">
        <v>667</v>
      </c>
    </row>
    <row r="30" spans="2:10" x14ac:dyDescent="0.3">
      <c r="B30" s="1081" t="s">
        <v>664</v>
      </c>
      <c r="C30" s="1078" t="s">
        <v>195</v>
      </c>
      <c r="D30" s="1078" t="s">
        <v>656</v>
      </c>
      <c r="E30" s="1083"/>
      <c r="F30" s="1083">
        <f>F27/6</f>
        <v>4557.0850000000009</v>
      </c>
      <c r="G30" s="1083">
        <f>G27/6</f>
        <v>90814.785000000047</v>
      </c>
      <c r="H30" s="927"/>
      <c r="I30" t="s">
        <v>667</v>
      </c>
    </row>
    <row r="31" spans="2:10" x14ac:dyDescent="0.3">
      <c r="B31" s="1081" t="s">
        <v>665</v>
      </c>
      <c r="C31" s="1078" t="s">
        <v>195</v>
      </c>
      <c r="D31" s="1078" t="s">
        <v>656</v>
      </c>
      <c r="E31" s="1083"/>
      <c r="F31" s="1083">
        <f>F27/6</f>
        <v>4557.0850000000009</v>
      </c>
      <c r="G31" s="1083">
        <f>G27/6</f>
        <v>90814.785000000047</v>
      </c>
      <c r="H31" s="927"/>
      <c r="I31" t="s">
        <v>667</v>
      </c>
    </row>
    <row r="32" spans="2:10" x14ac:dyDescent="0.3">
      <c r="B32" s="1078" t="s">
        <v>672</v>
      </c>
      <c r="C32" s="1078" t="s">
        <v>565</v>
      </c>
      <c r="D32" s="1078" t="s">
        <v>658</v>
      </c>
      <c r="E32" s="1087"/>
      <c r="F32" s="1087">
        <v>2500</v>
      </c>
      <c r="G32" s="1087"/>
      <c r="H32" s="927"/>
      <c r="I32" t="s">
        <v>679</v>
      </c>
    </row>
    <row r="33" spans="2:9" x14ac:dyDescent="0.3">
      <c r="B33" s="1078" t="s">
        <v>673</v>
      </c>
      <c r="C33" s="1078" t="s">
        <v>565</v>
      </c>
      <c r="D33" s="1078" t="s">
        <v>658</v>
      </c>
      <c r="E33" s="1087"/>
      <c r="F33" s="1087">
        <v>500</v>
      </c>
      <c r="G33" s="1087"/>
      <c r="H33" s="927"/>
      <c r="I33" t="s">
        <v>679</v>
      </c>
    </row>
    <row r="34" spans="2:9" x14ac:dyDescent="0.3">
      <c r="B34" s="1078" t="s">
        <v>642</v>
      </c>
      <c r="C34" s="1078" t="s">
        <v>565</v>
      </c>
      <c r="D34" s="1078" t="s">
        <v>658</v>
      </c>
      <c r="E34" s="1087"/>
      <c r="F34" s="1087">
        <v>1200</v>
      </c>
      <c r="G34" s="1087"/>
      <c r="H34" s="927"/>
      <c r="I34" t="s">
        <v>680</v>
      </c>
    </row>
    <row r="35" spans="2:9" x14ac:dyDescent="0.3">
      <c r="B35" s="927"/>
      <c r="E35" s="1077"/>
      <c r="F35" s="1077"/>
      <c r="G35" s="1077"/>
      <c r="H35" s="927"/>
    </row>
    <row r="36" spans="2:9" x14ac:dyDescent="0.3">
      <c r="B36" s="927"/>
      <c r="E36" s="1077"/>
      <c r="F36" s="1077"/>
      <c r="G36" s="1077"/>
      <c r="H36" s="927"/>
    </row>
    <row r="37" spans="2:9" x14ac:dyDescent="0.3">
      <c r="B37" s="927"/>
      <c r="E37" s="1077"/>
      <c r="F37" s="1077"/>
      <c r="G37" s="1077"/>
      <c r="H37" s="927"/>
    </row>
    <row r="38" spans="2:9" x14ac:dyDescent="0.3">
      <c r="E38" s="281"/>
      <c r="F38" s="281"/>
      <c r="G38" s="281"/>
      <c r="H38" s="927"/>
    </row>
    <row r="40" spans="2:9" x14ac:dyDescent="0.3">
      <c r="D40" t="s">
        <v>383</v>
      </c>
    </row>
    <row r="41" spans="2:9" x14ac:dyDescent="0.3">
      <c r="D41" s="959" t="s">
        <v>411</v>
      </c>
      <c r="E41" s="961">
        <f>SUM(E7:E8)</f>
        <v>29204</v>
      </c>
      <c r="F41" s="961">
        <f>SUM(F7:F8)</f>
        <v>6660</v>
      </c>
      <c r="G41" s="962">
        <f>SUM(G7:G8)</f>
        <v>183035</v>
      </c>
    </row>
    <row r="42" spans="2:9" x14ac:dyDescent="0.3">
      <c r="D42" s="960" t="s">
        <v>410</v>
      </c>
      <c r="E42" s="1089">
        <f>SUM(E9,E11,E12,E13,E14)</f>
        <v>265311</v>
      </c>
      <c r="F42" s="1089">
        <f t="shared" ref="F42:G42" si="1">SUM(F9,F11,F12,F13,F14)</f>
        <v>25519.5</v>
      </c>
      <c r="G42" s="963">
        <f t="shared" si="1"/>
        <v>341958</v>
      </c>
    </row>
    <row r="43" spans="2:9" x14ac:dyDescent="0.3">
      <c r="D43" s="933" t="s">
        <v>379</v>
      </c>
      <c r="E43" s="1090">
        <f>SUM(E7:E14)</f>
        <v>305215</v>
      </c>
      <c r="F43" s="1090">
        <f>SUM(F7:F14)</f>
        <v>35679.5</v>
      </c>
      <c r="G43" s="934">
        <f>SUM(G7:G14)</f>
        <v>534843</v>
      </c>
    </row>
    <row r="44" spans="2:9" x14ac:dyDescent="0.3">
      <c r="D44" s="933" t="s">
        <v>380</v>
      </c>
      <c r="E44" s="1090">
        <f>E15</f>
        <v>223047</v>
      </c>
      <c r="F44" s="1090">
        <f>F15</f>
        <v>47002</v>
      </c>
      <c r="G44" s="934">
        <f>G15</f>
        <v>366322</v>
      </c>
    </row>
    <row r="45" spans="2:9" x14ac:dyDescent="0.3">
      <c r="D45" s="933" t="s">
        <v>381</v>
      </c>
      <c r="E45" s="1090">
        <f>SUM(E19:E26)</f>
        <v>449376</v>
      </c>
      <c r="F45" s="1090">
        <f>SUM(F19:F26)</f>
        <v>48569.258333333339</v>
      </c>
      <c r="G45" s="934">
        <f>SUM(G19:G26)</f>
        <v>955918.6</v>
      </c>
    </row>
    <row r="46" spans="2:9" x14ac:dyDescent="0.3">
      <c r="D46" s="935" t="s">
        <v>382</v>
      </c>
      <c r="E46" s="936">
        <f>E27</f>
        <v>157369</v>
      </c>
      <c r="F46" s="936">
        <f>F27</f>
        <v>27342.510000000006</v>
      </c>
      <c r="G46" s="937">
        <f>G27</f>
        <v>544888.71000000031</v>
      </c>
    </row>
  </sheetData>
  <phoneticPr fontId="9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50D32-890E-4601-9F29-37853BE31707}">
  <sheetPr>
    <tabColor rgb="FF92D050"/>
  </sheetPr>
  <dimension ref="C3:V41"/>
  <sheetViews>
    <sheetView workbookViewId="0"/>
  </sheetViews>
  <sheetFormatPr defaultRowHeight="14.4" x14ac:dyDescent="0.3"/>
  <cols>
    <col min="5" max="5" width="14.88671875" customWidth="1"/>
    <col min="6" max="6" width="14.21875" customWidth="1"/>
    <col min="7" max="7" width="17.77734375" customWidth="1"/>
    <col min="8" max="8" width="18.88671875" customWidth="1"/>
    <col min="9" max="9" width="19.88671875" customWidth="1"/>
    <col min="10" max="10" width="13.44140625" customWidth="1"/>
    <col min="11" max="11" width="16.88671875" customWidth="1"/>
    <col min="12" max="12" width="25.44140625" customWidth="1"/>
    <col min="13" max="13" width="11.88671875" customWidth="1"/>
    <col min="14" max="14" width="0.44140625" customWidth="1"/>
    <col min="17" max="17" width="15" customWidth="1"/>
    <col min="22" max="22" width="15.44140625" customWidth="1"/>
  </cols>
  <sheetData>
    <row r="3" spans="3:19" x14ac:dyDescent="0.3">
      <c r="C3" t="s">
        <v>267</v>
      </c>
    </row>
    <row r="9" spans="3:19" ht="21" x14ac:dyDescent="0.4">
      <c r="D9" s="372" t="s">
        <v>284</v>
      </c>
    </row>
    <row r="11" spans="3:19" ht="18" x14ac:dyDescent="0.35">
      <c r="D11" s="374" t="s">
        <v>147</v>
      </c>
      <c r="E11" s="373"/>
      <c r="F11" s="373"/>
      <c r="G11" s="373"/>
      <c r="H11" s="380"/>
      <c r="I11" s="373"/>
      <c r="J11" s="373"/>
      <c r="K11" s="373"/>
      <c r="L11" s="373"/>
      <c r="M11" s="373"/>
      <c r="N11" s="373"/>
      <c r="O11" s="373"/>
      <c r="P11" s="373"/>
      <c r="Q11" s="373"/>
      <c r="R11" s="373"/>
      <c r="S11" s="373"/>
    </row>
    <row r="12" spans="3:19" ht="18" x14ac:dyDescent="0.35">
      <c r="D12" s="373"/>
      <c r="E12" s="373"/>
      <c r="F12" s="373"/>
      <c r="G12" s="373"/>
      <c r="H12" s="373"/>
      <c r="I12" s="373"/>
      <c r="J12" s="373"/>
      <c r="K12" s="373"/>
      <c r="L12" s="373"/>
      <c r="M12" s="373"/>
      <c r="N12" s="373"/>
      <c r="O12" s="373"/>
      <c r="P12" s="373"/>
      <c r="Q12" s="373"/>
      <c r="R12" s="373"/>
      <c r="S12" s="373"/>
    </row>
    <row r="13" spans="3:19" ht="18" x14ac:dyDescent="0.35">
      <c r="D13" s="373"/>
      <c r="E13" s="373"/>
      <c r="F13" s="373"/>
      <c r="G13" s="373"/>
      <c r="H13" s="381"/>
      <c r="I13" s="373"/>
      <c r="J13" s="373"/>
      <c r="K13" s="373"/>
      <c r="L13" s="373"/>
      <c r="M13" s="373"/>
      <c r="N13" s="918" t="s">
        <v>362</v>
      </c>
      <c r="O13" s="373"/>
      <c r="P13" s="373"/>
      <c r="Q13" s="373"/>
      <c r="R13" s="373"/>
      <c r="S13" s="373"/>
    </row>
    <row r="14" spans="3:19" ht="18.600000000000001" thickBot="1" x14ac:dyDescent="0.4">
      <c r="D14" s="374"/>
      <c r="E14" s="373"/>
      <c r="F14" s="373"/>
      <c r="G14" s="373"/>
      <c r="H14" s="373"/>
      <c r="I14" s="373"/>
      <c r="J14" s="373"/>
      <c r="K14" s="373"/>
      <c r="L14" s="373"/>
      <c r="M14" s="373"/>
      <c r="N14" s="382" t="s">
        <v>341</v>
      </c>
      <c r="O14" s="382"/>
      <c r="P14" s="382"/>
      <c r="Q14" s="382"/>
      <c r="R14" s="373"/>
      <c r="S14" s="373"/>
    </row>
    <row r="15" spans="3:19" ht="18" x14ac:dyDescent="0.35">
      <c r="D15" s="373"/>
      <c r="E15" s="448"/>
      <c r="F15" s="449"/>
      <c r="G15" s="450"/>
      <c r="H15" s="450"/>
      <c r="I15" s="450"/>
      <c r="J15" s="450"/>
      <c r="K15" s="450"/>
      <c r="L15" s="451"/>
      <c r="M15" s="373"/>
      <c r="N15" s="383" t="s">
        <v>342</v>
      </c>
      <c r="O15" s="383"/>
      <c r="P15" s="383"/>
      <c r="Q15" s="383"/>
      <c r="R15" s="383"/>
      <c r="S15" s="373"/>
    </row>
    <row r="16" spans="3:19" ht="18" x14ac:dyDescent="0.35">
      <c r="D16" s="373"/>
      <c r="E16" s="384" t="s">
        <v>148</v>
      </c>
      <c r="F16" s="385" t="s">
        <v>149</v>
      </c>
      <c r="G16" s="386"/>
      <c r="H16" s="387"/>
      <c r="I16" s="385" t="s">
        <v>287</v>
      </c>
      <c r="J16" s="388"/>
      <c r="K16" s="388"/>
      <c r="L16" s="389"/>
      <c r="M16" s="373"/>
      <c r="N16" s="373"/>
      <c r="O16" s="373"/>
      <c r="P16" s="373"/>
      <c r="Q16" s="373"/>
      <c r="R16" s="373"/>
      <c r="S16" s="373"/>
    </row>
    <row r="17" spans="4:22" ht="18" x14ac:dyDescent="0.35">
      <c r="D17" s="472"/>
      <c r="E17" s="390"/>
      <c r="F17" s="391" t="s">
        <v>150</v>
      </c>
      <c r="G17" s="905">
        <v>483367</v>
      </c>
      <c r="H17" s="419"/>
      <c r="I17" s="392" t="s">
        <v>148</v>
      </c>
      <c r="J17" s="387"/>
      <c r="K17" s="387"/>
      <c r="L17" s="907">
        <v>489907</v>
      </c>
      <c r="M17" s="423"/>
      <c r="N17" s="381"/>
      <c r="O17" s="373"/>
      <c r="P17" s="373"/>
      <c r="Q17" s="373"/>
      <c r="R17" s="373"/>
      <c r="S17" s="373"/>
      <c r="V17" s="373"/>
    </row>
    <row r="18" spans="4:22" ht="18" x14ac:dyDescent="0.35">
      <c r="D18" s="373"/>
      <c r="E18" s="390"/>
      <c r="F18" s="393" t="s">
        <v>151</v>
      </c>
      <c r="G18" s="906">
        <v>319717</v>
      </c>
      <c r="H18" s="419"/>
      <c r="I18" s="394" t="s">
        <v>152</v>
      </c>
      <c r="J18" s="395"/>
      <c r="K18" s="395"/>
      <c r="L18" s="908">
        <v>613042</v>
      </c>
      <c r="M18" s="423"/>
      <c r="N18" s="373"/>
      <c r="O18" s="373"/>
      <c r="P18" s="373"/>
      <c r="Q18" s="373"/>
      <c r="R18" s="373"/>
      <c r="S18" s="373"/>
      <c r="V18" s="373" t="s">
        <v>289</v>
      </c>
    </row>
    <row r="19" spans="4:22" ht="18" x14ac:dyDescent="0.35">
      <c r="D19" s="373"/>
      <c r="E19" s="396" t="s">
        <v>152</v>
      </c>
      <c r="F19" s="391" t="s">
        <v>150</v>
      </c>
      <c r="G19" s="421">
        <v>1207385</v>
      </c>
      <c r="H19" s="373"/>
      <c r="I19" s="373"/>
      <c r="J19" s="373"/>
      <c r="K19" s="373"/>
      <c r="L19" s="397">
        <f>SUM(L17:L18)</f>
        <v>1102949</v>
      </c>
      <c r="M19" s="373"/>
      <c r="N19" s="373"/>
      <c r="O19" s="398"/>
      <c r="P19" s="373"/>
      <c r="Q19" s="398"/>
      <c r="R19" s="373"/>
      <c r="S19" s="373"/>
      <c r="V19" s="742">
        <v>4730069</v>
      </c>
    </row>
    <row r="20" spans="4:22" ht="18.600000000000001" thickBot="1" x14ac:dyDescent="0.4">
      <c r="D20" s="373"/>
      <c r="E20" s="399"/>
      <c r="F20" s="400" t="s">
        <v>151</v>
      </c>
      <c r="G20" s="422">
        <v>200731</v>
      </c>
      <c r="H20" s="373"/>
      <c r="I20" s="374"/>
      <c r="J20" s="374"/>
      <c r="K20" s="373"/>
      <c r="L20" s="377"/>
      <c r="M20" s="374"/>
      <c r="N20" s="374"/>
      <c r="O20" s="398"/>
      <c r="P20" s="373"/>
      <c r="Q20" s="373"/>
      <c r="R20" s="373"/>
      <c r="S20" s="373"/>
      <c r="V20" s="373"/>
    </row>
    <row r="21" spans="4:22" ht="38.700000000000003" customHeight="1" x14ac:dyDescent="0.35">
      <c r="D21" s="373"/>
      <c r="E21" s="402" t="s">
        <v>153</v>
      </c>
      <c r="F21" s="403"/>
      <c r="G21" s="403"/>
      <c r="H21" s="373"/>
      <c r="I21" s="744" t="s">
        <v>343</v>
      </c>
      <c r="J21" s="753"/>
      <c r="K21" s="743">
        <v>5307</v>
      </c>
      <c r="L21" s="743">
        <v>5339</v>
      </c>
      <c r="M21" s="749">
        <v>5310</v>
      </c>
      <c r="N21" s="746"/>
      <c r="O21" s="1382" t="s">
        <v>363</v>
      </c>
      <c r="P21" s="1383"/>
      <c r="Q21" s="1383"/>
      <c r="R21" s="373"/>
      <c r="S21" s="373"/>
      <c r="V21" s="373"/>
    </row>
    <row r="22" spans="4:22" ht="18" x14ac:dyDescent="0.35">
      <c r="D22" s="373"/>
      <c r="E22" s="375" t="s">
        <v>148</v>
      </c>
      <c r="F22" s="404">
        <v>31420</v>
      </c>
      <c r="G22" s="373" t="s">
        <v>155</v>
      </c>
      <c r="H22" s="373"/>
      <c r="I22" s="445"/>
      <c r="J22" s="373"/>
      <c r="K22" s="473"/>
      <c r="L22" s="750" t="s">
        <v>154</v>
      </c>
      <c r="M22" s="751" t="s">
        <v>154</v>
      </c>
      <c r="N22" s="747"/>
      <c r="O22" s="373"/>
      <c r="P22" s="373"/>
      <c r="Q22" s="373"/>
      <c r="R22" s="373"/>
      <c r="S22" s="373"/>
    </row>
    <row r="23" spans="4:22" ht="18.600000000000001" thickBot="1" x14ac:dyDescent="0.4">
      <c r="D23" s="373"/>
      <c r="E23" s="378" t="s">
        <v>152</v>
      </c>
      <c r="F23" s="406">
        <v>16643</v>
      </c>
      <c r="G23" s="379" t="s">
        <v>155</v>
      </c>
      <c r="H23" s="379"/>
      <c r="I23" s="474" t="s">
        <v>290</v>
      </c>
      <c r="J23" s="475"/>
      <c r="K23" s="745">
        <f>'25_26 FTA Funding Split (INFO)'!K24*1.01</f>
        <v>4296912.6900000004</v>
      </c>
      <c r="L23" s="745">
        <f>'25_26 FTA Funding Split (INFO)'!L24*1.01</f>
        <v>405232.2</v>
      </c>
      <c r="M23" s="745">
        <f>'25_26 FTA Funding Split (INFO)'!M24*1.01</f>
        <v>75224.800000000003</v>
      </c>
      <c r="N23" s="748"/>
      <c r="O23" s="373"/>
      <c r="P23" s="373"/>
      <c r="Q23" s="373"/>
      <c r="R23" s="373"/>
      <c r="S23" s="373"/>
    </row>
    <row r="24" spans="4:22" ht="18" x14ac:dyDescent="0.35">
      <c r="D24" s="373"/>
      <c r="E24" s="373"/>
      <c r="F24" s="373"/>
      <c r="G24" s="373"/>
      <c r="H24" s="373"/>
      <c r="I24" s="373"/>
      <c r="J24" s="373"/>
      <c r="K24" s="373"/>
      <c r="L24" s="373"/>
      <c r="M24" s="373"/>
      <c r="N24" s="373"/>
      <c r="O24" s="373"/>
      <c r="P24" s="405"/>
      <c r="Q24" s="398"/>
      <c r="R24" s="373"/>
      <c r="S24" s="373"/>
    </row>
    <row r="25" spans="4:22" ht="18.600000000000001" thickBot="1" x14ac:dyDescent="0.4">
      <c r="D25" s="373"/>
      <c r="E25" s="373"/>
      <c r="F25" s="373"/>
      <c r="G25" s="373"/>
      <c r="H25" s="373"/>
      <c r="I25" s="373"/>
      <c r="J25" s="373"/>
      <c r="K25" s="373"/>
      <c r="L25" s="373"/>
      <c r="M25" s="373"/>
      <c r="N25" s="373"/>
      <c r="O25" s="373"/>
      <c r="P25" s="373"/>
      <c r="Q25" s="373"/>
      <c r="R25" s="373"/>
      <c r="S25" s="373"/>
    </row>
    <row r="26" spans="4:22" ht="18.600000000000001" thickBot="1" x14ac:dyDescent="0.4">
      <c r="D26" s="373"/>
      <c r="E26" s="461" t="s">
        <v>156</v>
      </c>
      <c r="F26" s="462"/>
      <c r="G26" s="463"/>
      <c r="H26" s="373"/>
      <c r="I26" s="373"/>
      <c r="J26" s="373"/>
      <c r="K26" s="373"/>
      <c r="L26" s="373"/>
      <c r="M26" s="373"/>
      <c r="N26" s="373"/>
      <c r="O26" s="373"/>
      <c r="P26" s="373"/>
      <c r="Q26" s="373"/>
      <c r="R26" s="373"/>
      <c r="S26" s="373"/>
    </row>
    <row r="27" spans="4:22" ht="18.600000000000001" thickBot="1" x14ac:dyDescent="0.4">
      <c r="D27" s="373"/>
      <c r="E27" s="456"/>
      <c r="F27" s="457" t="s">
        <v>157</v>
      </c>
      <c r="G27" s="458"/>
      <c r="H27" s="457" t="s">
        <v>158</v>
      </c>
      <c r="I27" s="459"/>
      <c r="J27" s="1380" t="s">
        <v>159</v>
      </c>
      <c r="K27" s="1381"/>
      <c r="L27" s="460" t="s">
        <v>291</v>
      </c>
      <c r="M27" s="376"/>
      <c r="N27" s="373"/>
      <c r="O27" s="373"/>
      <c r="P27" s="373"/>
      <c r="Q27" s="373"/>
      <c r="R27" s="373"/>
      <c r="S27" s="373"/>
    </row>
    <row r="28" spans="4:22" ht="18" x14ac:dyDescent="0.35">
      <c r="D28" s="373"/>
      <c r="E28" s="407" t="s">
        <v>148</v>
      </c>
      <c r="F28" s="909">
        <f>G17+G18</f>
        <v>803084</v>
      </c>
      <c r="G28" s="408">
        <f>F28/F30</f>
        <v>0.36318921852387842</v>
      </c>
      <c r="H28" s="404">
        <f>F22</f>
        <v>31420</v>
      </c>
      <c r="I28" s="409">
        <f>H28/H30</f>
        <v>0.65372531885233964</v>
      </c>
      <c r="J28" s="754">
        <f>L17</f>
        <v>489907</v>
      </c>
      <c r="K28" s="410">
        <f>L17/(L17+L18)</f>
        <v>0.44417919595557004</v>
      </c>
      <c r="L28" s="919">
        <f>(G28+I28+K28)/3</f>
        <v>0.48703124444392937</v>
      </c>
      <c r="M28" s="423"/>
      <c r="N28" s="411"/>
      <c r="O28" s="373"/>
      <c r="P28" s="373"/>
      <c r="Q28" s="373"/>
      <c r="R28" s="373"/>
      <c r="S28" s="373"/>
    </row>
    <row r="29" spans="4:22" ht="18" x14ac:dyDescent="0.35">
      <c r="D29" s="373"/>
      <c r="E29" s="386" t="s">
        <v>160</v>
      </c>
      <c r="F29" s="910">
        <f>G19+G20</f>
        <v>1408116</v>
      </c>
      <c r="G29" s="412">
        <f>F29/F30</f>
        <v>0.63681078147612158</v>
      </c>
      <c r="H29" s="406">
        <f>F23</f>
        <v>16643</v>
      </c>
      <c r="I29" s="413">
        <f>H29/H30</f>
        <v>0.34627468114766036</v>
      </c>
      <c r="J29" s="754">
        <f>L18</f>
        <v>613042</v>
      </c>
      <c r="K29" s="424">
        <f>L18/(L17+L18)</f>
        <v>0.55582080404443002</v>
      </c>
      <c r="L29" s="920">
        <f>(G29+I29+K29)/3</f>
        <v>0.51296875555607058</v>
      </c>
      <c r="M29" s="423"/>
      <c r="N29" s="411"/>
      <c r="O29" s="373"/>
      <c r="P29" s="373"/>
      <c r="Q29" s="373"/>
      <c r="R29" s="373"/>
      <c r="S29" s="373"/>
    </row>
    <row r="30" spans="4:22" ht="18" x14ac:dyDescent="0.35">
      <c r="D30" s="373"/>
      <c r="E30" s="913" t="s">
        <v>92</v>
      </c>
      <c r="F30" s="414">
        <f>SUM(F28:F29)</f>
        <v>2211200</v>
      </c>
      <c r="G30" s="415"/>
      <c r="H30" s="414">
        <f>SUM(H28:H29)</f>
        <v>48063</v>
      </c>
      <c r="I30" s="901"/>
      <c r="J30" s="414">
        <f>SUM(J28:J29)</f>
        <v>1102949</v>
      </c>
      <c r="K30" s="901"/>
      <c r="L30" s="902"/>
      <c r="M30" s="373"/>
      <c r="N30" s="373"/>
      <c r="O30" s="373"/>
      <c r="P30" s="373"/>
      <c r="Q30" s="373"/>
      <c r="R30" s="373"/>
      <c r="S30" s="373"/>
    </row>
    <row r="31" spans="4:22" ht="18.600000000000001" thickBot="1" x14ac:dyDescent="0.4">
      <c r="D31" s="373"/>
      <c r="E31" s="373"/>
      <c r="F31" s="373"/>
      <c r="G31" s="373"/>
      <c r="H31" s="373"/>
      <c r="I31" s="373"/>
      <c r="J31" s="373"/>
      <c r="K31" s="373"/>
      <c r="L31" s="373"/>
      <c r="M31" s="373"/>
      <c r="N31" s="373"/>
      <c r="O31" s="373"/>
      <c r="P31" s="373"/>
      <c r="Q31" s="373"/>
      <c r="R31" s="373"/>
      <c r="S31" s="373"/>
    </row>
    <row r="32" spans="4:22" ht="18" x14ac:dyDescent="0.35">
      <c r="D32" s="373"/>
      <c r="E32" s="921" t="s">
        <v>292</v>
      </c>
      <c r="F32" s="922"/>
      <c r="G32" s="923"/>
      <c r="H32" s="373"/>
      <c r="I32" s="373"/>
      <c r="J32" s="373"/>
      <c r="K32" s="374"/>
      <c r="L32" s="373"/>
      <c r="M32" s="373"/>
      <c r="N32" s="373"/>
      <c r="O32" s="373"/>
      <c r="P32" s="373"/>
      <c r="Q32" s="373"/>
      <c r="R32" s="373"/>
      <c r="S32" s="373"/>
    </row>
    <row r="33" spans="4:19" ht="18" x14ac:dyDescent="0.35">
      <c r="D33" s="373"/>
      <c r="E33" s="924"/>
      <c r="F33" s="925" t="s">
        <v>161</v>
      </c>
      <c r="G33" s="925" t="s">
        <v>162</v>
      </c>
      <c r="H33" s="925" t="s">
        <v>163</v>
      </c>
      <c r="I33" s="925">
        <v>5339</v>
      </c>
      <c r="J33" s="925">
        <v>5310</v>
      </c>
      <c r="K33" s="374"/>
      <c r="L33" s="756"/>
      <c r="M33" s="756"/>
      <c r="N33" s="756"/>
      <c r="O33" s="373"/>
      <c r="P33" s="373"/>
      <c r="Q33" s="373"/>
      <c r="R33" s="373"/>
      <c r="S33" s="373"/>
    </row>
    <row r="34" spans="4:19" ht="18" x14ac:dyDescent="0.35">
      <c r="D34" s="373"/>
      <c r="E34" s="447" t="s">
        <v>148</v>
      </c>
      <c r="F34" s="446">
        <f>K23*L28</f>
        <v>2092730.7346776123</v>
      </c>
      <c r="G34" s="446">
        <f>F34*0.75</f>
        <v>1569548.0510082091</v>
      </c>
      <c r="H34" s="903">
        <f>F34-G34</f>
        <v>523182.6836694032</v>
      </c>
      <c r="I34" s="903">
        <f>L23*L28</f>
        <v>197360.74265475129</v>
      </c>
      <c r="J34" s="903"/>
      <c r="K34" s="374"/>
      <c r="L34" s="405"/>
      <c r="M34" s="405"/>
      <c r="N34" s="405"/>
      <c r="O34" s="756"/>
      <c r="P34" s="373"/>
      <c r="Q34" s="373"/>
      <c r="R34" s="373"/>
      <c r="S34" s="373"/>
    </row>
    <row r="35" spans="4:19" ht="18" x14ac:dyDescent="0.35">
      <c r="D35" s="373"/>
      <c r="E35" s="447" t="s">
        <v>160</v>
      </c>
      <c r="F35" s="446">
        <f>K23*L29</f>
        <v>2204181.9553223881</v>
      </c>
      <c r="G35" s="446">
        <f>F35*0.75</f>
        <v>1653136.466491791</v>
      </c>
      <c r="H35" s="903">
        <f>F35-G35</f>
        <v>551045.48883059714</v>
      </c>
      <c r="I35" s="903">
        <f>L23*L29</f>
        <v>207871.45734524869</v>
      </c>
      <c r="J35" s="904">
        <f>M23</f>
        <v>75224.800000000003</v>
      </c>
      <c r="K35" s="374"/>
      <c r="L35" s="401"/>
      <c r="M35" s="401"/>
      <c r="N35" s="401"/>
      <c r="O35" s="405"/>
      <c r="P35" s="405"/>
      <c r="Q35" s="373"/>
      <c r="R35" s="401"/>
      <c r="S35" s="373"/>
    </row>
    <row r="36" spans="4:19" ht="18" x14ac:dyDescent="0.35">
      <c r="D36" s="373"/>
      <c r="E36" s="912" t="s">
        <v>92</v>
      </c>
      <c r="F36" s="911">
        <f>SUM(F34:F35)</f>
        <v>4296912.6900000004</v>
      </c>
      <c r="G36" s="911">
        <f>SUM(G34:G35)</f>
        <v>3222684.5175000001</v>
      </c>
      <c r="H36" s="911">
        <f>SUM(H34:H35)</f>
        <v>1074228.1725000003</v>
      </c>
      <c r="I36" s="911">
        <f>SUM(I34:I35)</f>
        <v>405232.19999999995</v>
      </c>
      <c r="J36" s="911">
        <f>SUM(J34:J35)</f>
        <v>75224.800000000003</v>
      </c>
      <c r="K36" s="757"/>
      <c r="L36" s="758"/>
      <c r="M36" s="758"/>
      <c r="N36" s="758"/>
      <c r="O36" s="401"/>
      <c r="P36" s="401"/>
      <c r="Q36" s="373"/>
      <c r="R36" s="401"/>
      <c r="S36" s="373"/>
    </row>
    <row r="37" spans="4:19" ht="18" x14ac:dyDescent="0.35">
      <c r="D37" s="373"/>
      <c r="E37" s="373"/>
      <c r="F37" s="373"/>
      <c r="G37" s="373"/>
      <c r="H37" s="373"/>
      <c r="I37" s="759"/>
      <c r="J37" s="759"/>
      <c r="K37" s="374"/>
      <c r="L37" s="455"/>
      <c r="M37" s="455"/>
      <c r="N37" s="455"/>
      <c r="O37" s="758"/>
      <c r="P37" s="405"/>
      <c r="Q37" s="373"/>
      <c r="R37" s="373"/>
      <c r="S37" s="373"/>
    </row>
    <row r="38" spans="4:19" ht="18" x14ac:dyDescent="0.35">
      <c r="D38" s="373"/>
      <c r="E38" s="373"/>
      <c r="F38" s="373"/>
      <c r="G38" s="373"/>
      <c r="H38" s="373"/>
      <c r="I38" s="759"/>
      <c r="J38" s="759"/>
      <c r="K38" s="374"/>
      <c r="L38" s="760"/>
      <c r="M38" s="760"/>
      <c r="N38" s="760"/>
      <c r="O38" s="455"/>
      <c r="P38" s="455"/>
      <c r="Q38" s="373"/>
      <c r="R38" s="373"/>
      <c r="S38" s="373"/>
    </row>
    <row r="39" spans="4:19" ht="18" x14ac:dyDescent="0.35">
      <c r="D39" s="373"/>
      <c r="E39" s="373"/>
      <c r="F39" s="373"/>
      <c r="G39" s="373"/>
      <c r="H39" s="373"/>
      <c r="I39" s="373"/>
      <c r="J39" s="373"/>
      <c r="K39" s="761"/>
      <c r="L39" s="405"/>
      <c r="M39" s="405"/>
      <c r="N39" s="405"/>
      <c r="O39" s="760"/>
      <c r="P39" s="760"/>
      <c r="Q39" s="373"/>
      <c r="R39" s="373"/>
      <c r="S39" s="373"/>
    </row>
    <row r="40" spans="4:19" ht="18" x14ac:dyDescent="0.35">
      <c r="D40" s="373"/>
      <c r="E40" s="373"/>
      <c r="F40" s="373"/>
      <c r="G40" s="373"/>
      <c r="H40" s="373"/>
      <c r="I40" s="418"/>
      <c r="J40" s="418"/>
      <c r="O40" s="405"/>
      <c r="P40" s="405"/>
      <c r="Q40" s="373"/>
      <c r="R40" s="373"/>
      <c r="S40" s="373"/>
    </row>
    <row r="41" spans="4:19" ht="18" x14ac:dyDescent="0.35">
      <c r="D41" s="373"/>
      <c r="Q41" s="373"/>
      <c r="R41" s="373"/>
      <c r="S41" s="373"/>
    </row>
  </sheetData>
  <mergeCells count="2">
    <mergeCell ref="J27:K27"/>
    <mergeCell ref="O21:Q2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B0451-2EDC-459C-9241-1B68636522D9}">
  <dimension ref="C1:AG83"/>
  <sheetViews>
    <sheetView workbookViewId="0">
      <selection activeCell="C16" sqref="C16:K16"/>
    </sheetView>
  </sheetViews>
  <sheetFormatPr defaultColWidth="9.109375" defaultRowHeight="14.4" x14ac:dyDescent="0.3"/>
  <cols>
    <col min="1" max="2" width="9.109375" style="1056"/>
    <col min="3" max="3" width="52" style="1054" customWidth="1"/>
    <col min="4" max="4" width="12.109375" style="1056" customWidth="1"/>
    <col min="5" max="5" width="10.5546875" style="1056" bestFit="1" customWidth="1"/>
    <col min="6" max="6" width="11.5546875" style="1056" customWidth="1"/>
    <col min="7" max="7" width="10.109375" style="1056" customWidth="1"/>
    <col min="8" max="9" width="10.88671875" style="1056" customWidth="1"/>
    <col min="10" max="10" width="9.109375" style="1056"/>
    <col min="11" max="11" width="14.109375" style="1056" customWidth="1"/>
    <col min="12" max="12" width="10.5546875" style="1056" bestFit="1" customWidth="1"/>
    <col min="13" max="15" width="12.88671875" style="1056" customWidth="1"/>
    <col min="16" max="19" width="12.44140625" style="1056" customWidth="1"/>
    <col min="20" max="20" width="14.77734375" style="1056" customWidth="1"/>
    <col min="21" max="24" width="15.21875" style="1056" customWidth="1"/>
    <col min="25" max="28" width="12.88671875" style="1056" customWidth="1"/>
    <col min="29" max="29" width="10.5546875" style="1056" bestFit="1" customWidth="1"/>
    <col min="30" max="32" width="9.109375" style="1056"/>
    <col min="33" max="33" width="11" style="1056" bestFit="1" customWidth="1"/>
    <col min="34" max="16384" width="9.109375" style="1056"/>
  </cols>
  <sheetData>
    <row r="1" spans="3:32" s="1054" customFormat="1" ht="43.2" x14ac:dyDescent="0.3">
      <c r="E1" s="1060" t="s">
        <v>369</v>
      </c>
      <c r="F1" s="1060">
        <v>22</v>
      </c>
      <c r="G1" s="1096">
        <v>28</v>
      </c>
      <c r="H1" s="1096">
        <v>50</v>
      </c>
      <c r="I1" s="1096">
        <v>55</v>
      </c>
      <c r="J1" s="1096">
        <v>51</v>
      </c>
      <c r="K1" s="1096" t="s">
        <v>653</v>
      </c>
      <c r="L1" s="1096">
        <v>30</v>
      </c>
      <c r="M1" s="1097" t="s">
        <v>637</v>
      </c>
      <c r="N1" s="1097" t="s">
        <v>638</v>
      </c>
      <c r="O1" s="1097" t="s">
        <v>636</v>
      </c>
      <c r="P1" s="1096" t="s">
        <v>629</v>
      </c>
      <c r="Q1" s="1096" t="s">
        <v>630</v>
      </c>
      <c r="R1" s="1096" t="s">
        <v>631</v>
      </c>
      <c r="S1" s="1096" t="s">
        <v>374</v>
      </c>
      <c r="T1" s="1097" t="s">
        <v>652</v>
      </c>
      <c r="U1" s="1097" t="s">
        <v>632</v>
      </c>
      <c r="V1" s="1097" t="s">
        <v>633</v>
      </c>
      <c r="W1" s="1072" t="s">
        <v>634</v>
      </c>
      <c r="X1" s="1072" t="s">
        <v>635</v>
      </c>
      <c r="Y1" s="1097" t="s">
        <v>639</v>
      </c>
      <c r="Z1" s="1097" t="s">
        <v>640</v>
      </c>
      <c r="AA1" s="1072" t="s">
        <v>641</v>
      </c>
      <c r="AB1" s="1072" t="s">
        <v>625</v>
      </c>
      <c r="AC1" s="1060" t="s">
        <v>92</v>
      </c>
      <c r="AD1" s="1060" t="s">
        <v>246</v>
      </c>
    </row>
    <row r="2" spans="3:32" ht="17.399999999999999" customHeight="1" x14ac:dyDescent="0.4">
      <c r="C2" s="1093"/>
      <c r="D2" s="1088"/>
      <c r="E2" s="1068"/>
      <c r="F2" s="1068"/>
      <c r="G2" s="1092"/>
      <c r="H2" s="1068"/>
      <c r="I2" s="1068"/>
      <c r="J2" s="1068"/>
      <c r="K2" s="1068"/>
      <c r="L2" s="1068"/>
      <c r="M2" s="1068"/>
      <c r="N2" s="1068"/>
      <c r="O2" s="1068"/>
      <c r="P2" s="1068"/>
      <c r="Q2" s="1068"/>
      <c r="R2" s="1068"/>
      <c r="S2" s="1068"/>
      <c r="T2" s="1068"/>
      <c r="U2" s="1068"/>
      <c r="V2" s="1068"/>
      <c r="W2" s="1068"/>
      <c r="X2" s="1068"/>
      <c r="Y2" s="1068"/>
      <c r="Z2" s="1068"/>
      <c r="AA2" s="1068"/>
      <c r="AF2" s="1059"/>
    </row>
    <row r="3" spans="3:32" x14ac:dyDescent="0.3">
      <c r="C3" s="1094" t="s">
        <v>612</v>
      </c>
      <c r="E3" s="1091">
        <v>0</v>
      </c>
      <c r="F3" s="1091">
        <v>0</v>
      </c>
      <c r="G3" s="1091">
        <v>83115</v>
      </c>
      <c r="H3" s="1091">
        <v>1012092.1302126014</v>
      </c>
      <c r="I3" s="1091">
        <v>397912.04673341458</v>
      </c>
      <c r="J3" s="1091">
        <v>12088.069228375854</v>
      </c>
      <c r="K3" s="1091">
        <v>459972.75382560812</v>
      </c>
      <c r="L3" s="1109"/>
      <c r="M3" s="1109"/>
      <c r="N3" s="1109"/>
      <c r="O3" s="1109"/>
      <c r="P3" s="1109"/>
      <c r="Q3" s="1109"/>
      <c r="R3" s="1109"/>
      <c r="S3" s="1109"/>
      <c r="T3" s="1109"/>
      <c r="U3" s="1109"/>
      <c r="V3" s="1109"/>
      <c r="W3" s="1109"/>
      <c r="X3" s="1109"/>
      <c r="Y3" s="1109"/>
      <c r="Z3" s="1109"/>
      <c r="AA3" s="1109"/>
      <c r="AB3" s="1109"/>
      <c r="AC3" s="1061">
        <f>SUM(E3:L3)</f>
        <v>1965179.9999999998</v>
      </c>
      <c r="AD3" s="1056" t="s">
        <v>566</v>
      </c>
    </row>
    <row r="4" spans="3:32" x14ac:dyDescent="0.3">
      <c r="C4" s="1094" t="s">
        <v>613</v>
      </c>
      <c r="E4" s="1091">
        <v>0</v>
      </c>
      <c r="F4" s="1091">
        <v>0</v>
      </c>
      <c r="G4" s="1091">
        <v>0</v>
      </c>
      <c r="H4" s="1091">
        <v>184061</v>
      </c>
      <c r="I4" s="1091">
        <v>147901</v>
      </c>
      <c r="J4" s="1091">
        <v>0</v>
      </c>
      <c r="K4" s="1091">
        <v>168038</v>
      </c>
      <c r="L4" s="1109"/>
      <c r="M4" s="1109"/>
      <c r="N4" s="1109"/>
      <c r="O4" s="1109"/>
      <c r="P4" s="1109"/>
      <c r="Q4" s="1109"/>
      <c r="R4" s="1109"/>
      <c r="S4" s="1109"/>
      <c r="T4" s="1109"/>
      <c r="U4" s="1109"/>
      <c r="V4" s="1109"/>
      <c r="W4" s="1109"/>
      <c r="X4" s="1109"/>
      <c r="Y4" s="1109"/>
      <c r="Z4" s="1109"/>
      <c r="AA4" s="1109"/>
      <c r="AB4" s="1109"/>
      <c r="AC4" s="1061"/>
    </row>
    <row r="5" spans="3:32" x14ac:dyDescent="0.3">
      <c r="C5" s="1094" t="s">
        <v>614</v>
      </c>
      <c r="E5" s="1108"/>
      <c r="F5" s="1108"/>
      <c r="G5" s="1108"/>
      <c r="H5" s="1108"/>
      <c r="I5" s="1108"/>
      <c r="J5" s="1108"/>
      <c r="K5" s="1108"/>
      <c r="L5" s="1109"/>
      <c r="M5" s="1109"/>
      <c r="N5" s="1109"/>
      <c r="O5" s="1109"/>
      <c r="P5" s="1109"/>
      <c r="Q5" s="1109"/>
      <c r="R5" s="1109"/>
      <c r="S5" s="1109"/>
      <c r="T5" s="1109"/>
      <c r="U5" s="1109"/>
      <c r="V5" s="1109"/>
      <c r="W5" s="1109"/>
      <c r="X5" s="1109"/>
      <c r="Y5" s="1109"/>
      <c r="Z5" s="1109"/>
      <c r="AA5" s="1109"/>
      <c r="AB5" s="1109"/>
      <c r="AC5" s="1061"/>
    </row>
    <row r="6" spans="3:32" x14ac:dyDescent="0.3">
      <c r="C6" s="1095" t="s">
        <v>622</v>
      </c>
      <c r="E6" s="1108"/>
      <c r="F6" s="1108"/>
      <c r="G6" s="1108"/>
      <c r="H6" s="1108"/>
      <c r="I6" s="1108"/>
      <c r="J6" s="1108"/>
      <c r="K6" s="1108"/>
      <c r="L6" s="1109"/>
      <c r="M6" s="1109"/>
      <c r="N6" s="1109"/>
      <c r="O6" s="1109"/>
      <c r="P6" s="1109"/>
      <c r="Q6" s="1109"/>
      <c r="R6" s="1109"/>
      <c r="S6" s="1109"/>
      <c r="T6" s="1109"/>
      <c r="U6" s="1109"/>
      <c r="V6" s="1109"/>
      <c r="W6" s="1109"/>
      <c r="X6" s="1109"/>
      <c r="Y6" s="1109"/>
      <c r="Z6" s="1109"/>
      <c r="AA6" s="1109"/>
      <c r="AB6" s="1109"/>
      <c r="AC6" s="1061">
        <f>SUM(E6:J6)</f>
        <v>0</v>
      </c>
      <c r="AD6" s="1056" t="s">
        <v>567</v>
      </c>
    </row>
    <row r="7" spans="3:32" x14ac:dyDescent="0.3">
      <c r="C7" s="1095" t="s">
        <v>621</v>
      </c>
      <c r="E7" s="1110"/>
      <c r="F7" s="1110"/>
      <c r="G7" s="1110"/>
      <c r="H7" s="1110"/>
      <c r="I7" s="1110"/>
      <c r="J7" s="1110"/>
      <c r="K7" s="1110"/>
      <c r="L7" s="1109"/>
      <c r="M7" s="1109"/>
      <c r="N7" s="1109"/>
      <c r="O7" s="1109"/>
      <c r="P7" s="1109"/>
      <c r="Q7" s="1109"/>
      <c r="R7" s="1109"/>
      <c r="S7" s="1109"/>
      <c r="T7" s="1109"/>
      <c r="U7" s="1109"/>
      <c r="V7" s="1109"/>
      <c r="W7" s="1109"/>
      <c r="X7" s="1109"/>
      <c r="Y7" s="1109"/>
      <c r="Z7" s="1109"/>
      <c r="AA7" s="1109"/>
      <c r="AB7" s="1109"/>
      <c r="AC7" s="1061"/>
    </row>
    <row r="8" spans="3:32" x14ac:dyDescent="0.3">
      <c r="C8" s="1054" t="s">
        <v>389</v>
      </c>
      <c r="E8" s="1109"/>
      <c r="F8" s="1109"/>
      <c r="G8" s="1109"/>
      <c r="H8" s="1109"/>
      <c r="I8" s="1109"/>
      <c r="J8" s="1109"/>
      <c r="K8" s="1109"/>
      <c r="L8" s="1109"/>
      <c r="M8" s="1109"/>
      <c r="N8" s="1109"/>
      <c r="O8" s="1109"/>
      <c r="P8" s="1109"/>
      <c r="Q8" s="1109"/>
      <c r="R8" s="1109"/>
      <c r="S8" s="1109"/>
      <c r="T8" s="1109"/>
      <c r="U8" s="1109"/>
      <c r="V8" s="1109"/>
      <c r="W8" s="1109"/>
      <c r="X8" s="1109"/>
      <c r="Y8" s="1109"/>
      <c r="Z8" s="1109"/>
      <c r="AA8" s="1109"/>
      <c r="AB8" s="1109"/>
      <c r="AC8" s="1061">
        <f>SUM(E8:J8)</f>
        <v>0</v>
      </c>
      <c r="AD8" s="1056" t="s">
        <v>568</v>
      </c>
    </row>
    <row r="9" spans="3:32" x14ac:dyDescent="0.3">
      <c r="C9" s="1054" t="s">
        <v>615</v>
      </c>
      <c r="E9" s="1109"/>
      <c r="F9" s="1109"/>
      <c r="G9" s="1109"/>
      <c r="H9" s="1109"/>
      <c r="I9" s="1109"/>
      <c r="J9" s="1109"/>
      <c r="K9" s="1109"/>
      <c r="L9" s="1109"/>
      <c r="M9" s="1109"/>
      <c r="N9" s="1109"/>
      <c r="O9" s="1109"/>
      <c r="P9" s="1109"/>
      <c r="Q9" s="1109"/>
      <c r="R9" s="1109"/>
      <c r="S9" s="1109"/>
      <c r="T9" s="1109"/>
      <c r="U9" s="1109"/>
      <c r="V9" s="1109"/>
      <c r="W9" s="1109"/>
      <c r="X9" s="1109"/>
      <c r="Y9" s="1109"/>
      <c r="Z9" s="1109"/>
      <c r="AA9" s="1109"/>
      <c r="AB9" s="1109"/>
      <c r="AC9" s="1061"/>
    </row>
    <row r="10" spans="3:32" x14ac:dyDescent="0.3">
      <c r="C10" s="1054" t="s">
        <v>618</v>
      </c>
      <c r="E10" s="1091">
        <v>209888.04453100005</v>
      </c>
      <c r="F10" s="1091">
        <v>408846.98338200001</v>
      </c>
      <c r="G10" s="1091">
        <v>685.52660400002458</v>
      </c>
      <c r="H10" s="1091">
        <v>640648.38902744348</v>
      </c>
      <c r="I10" s="1091">
        <v>306176.90421149082</v>
      </c>
      <c r="J10" s="1091">
        <v>21031.352369674147</v>
      </c>
      <c r="K10" s="1091">
        <v>221384.48757439188</v>
      </c>
      <c r="L10" s="1109"/>
      <c r="M10" s="1109"/>
      <c r="N10" s="1109"/>
      <c r="O10" s="1109"/>
      <c r="P10" s="1109"/>
      <c r="Q10" s="1109"/>
      <c r="R10" s="1109"/>
      <c r="S10" s="1109"/>
      <c r="T10" s="1109"/>
      <c r="U10" s="1109"/>
      <c r="V10" s="1109"/>
      <c r="W10" s="1109"/>
      <c r="X10" s="1109"/>
      <c r="Y10" s="1109"/>
      <c r="Z10" s="1109"/>
      <c r="AA10" s="1109"/>
      <c r="AB10" s="1109"/>
      <c r="AC10" s="1061">
        <f>SUM(E10:J10)</f>
        <v>1587277.2001256088</v>
      </c>
      <c r="AD10" s="1056" t="s">
        <v>569</v>
      </c>
    </row>
    <row r="11" spans="3:32" x14ac:dyDescent="0.3">
      <c r="C11" s="1054" t="s">
        <v>620</v>
      </c>
      <c r="E11" s="1110"/>
      <c r="F11" s="1110"/>
      <c r="G11" s="1110"/>
      <c r="H11" s="1110"/>
      <c r="I11" s="1110"/>
      <c r="J11" s="1110"/>
      <c r="K11" s="1110"/>
      <c r="L11" s="1109"/>
      <c r="M11" s="1109"/>
      <c r="N11" s="1109"/>
      <c r="O11" s="1109"/>
      <c r="P11" s="1109"/>
      <c r="Q11" s="1109"/>
      <c r="R11" s="1109"/>
      <c r="S11" s="1109"/>
      <c r="T11" s="1109"/>
      <c r="U11" s="1109"/>
      <c r="V11" s="1109"/>
      <c r="W11" s="1109"/>
      <c r="X11" s="1109"/>
      <c r="Y11" s="1109"/>
      <c r="Z11" s="1109"/>
      <c r="AA11" s="1109"/>
      <c r="AB11" s="1109"/>
      <c r="AC11" s="1061"/>
      <c r="AD11" s="1064"/>
    </row>
    <row r="12" spans="3:32" x14ac:dyDescent="0.3">
      <c r="C12" s="1054" t="s">
        <v>619</v>
      </c>
      <c r="E12" s="1108"/>
      <c r="F12" s="1108"/>
      <c r="G12" s="1108"/>
      <c r="H12" s="1108"/>
      <c r="I12" s="1108"/>
      <c r="J12" s="1108"/>
      <c r="K12" s="1108"/>
      <c r="L12" s="1109"/>
      <c r="M12" s="1109"/>
      <c r="N12" s="1109"/>
      <c r="O12" s="1109"/>
      <c r="P12" s="1109"/>
      <c r="Q12" s="1109"/>
      <c r="R12" s="1109"/>
      <c r="S12" s="1109"/>
      <c r="T12" s="1109"/>
      <c r="U12" s="1109"/>
      <c r="V12" s="1109"/>
      <c r="W12" s="1109"/>
      <c r="X12" s="1109"/>
      <c r="Y12" s="1109"/>
      <c r="Z12" s="1109"/>
      <c r="AA12" s="1109"/>
      <c r="AB12" s="1109"/>
      <c r="AC12" s="1061">
        <f>SUM(E12:J12)</f>
        <v>0</v>
      </c>
      <c r="AD12" s="1064" t="s">
        <v>570</v>
      </c>
    </row>
    <row r="13" spans="3:32" x14ac:dyDescent="0.3">
      <c r="C13" s="1054" t="s">
        <v>623</v>
      </c>
      <c r="E13" s="1110"/>
      <c r="F13" s="1110"/>
      <c r="G13" s="1110"/>
      <c r="H13" s="1110"/>
      <c r="I13" s="1110"/>
      <c r="J13" s="1110"/>
      <c r="K13" s="1110"/>
      <c r="L13" s="1109"/>
      <c r="M13" s="1109"/>
      <c r="N13" s="1109"/>
      <c r="O13" s="1109"/>
      <c r="P13" s="1109"/>
      <c r="Q13" s="1109"/>
      <c r="R13" s="1109"/>
      <c r="S13" s="1109"/>
      <c r="T13" s="1109"/>
      <c r="U13" s="1109"/>
      <c r="V13" s="1109"/>
      <c r="W13" s="1109"/>
      <c r="X13" s="1109"/>
      <c r="Y13" s="1109"/>
      <c r="Z13" s="1109"/>
      <c r="AA13" s="1109"/>
      <c r="AB13" s="1109"/>
      <c r="AC13" s="1061"/>
      <c r="AD13" s="1064"/>
    </row>
    <row r="14" spans="3:32" x14ac:dyDescent="0.3">
      <c r="C14" s="1054" t="s">
        <v>624</v>
      </c>
      <c r="E14" s="1109"/>
      <c r="F14" s="1109"/>
      <c r="G14" s="1109"/>
      <c r="H14" s="1109"/>
      <c r="I14" s="1109"/>
      <c r="J14" s="1109"/>
      <c r="K14" s="1109"/>
      <c r="L14" s="1109"/>
      <c r="M14" s="1109"/>
      <c r="N14" s="1109"/>
      <c r="O14" s="1109"/>
      <c r="P14" s="1109"/>
      <c r="Q14" s="1109"/>
      <c r="R14" s="1109"/>
      <c r="S14" s="1109"/>
      <c r="T14" s="1109"/>
      <c r="U14" s="1109"/>
      <c r="V14" s="1109"/>
      <c r="W14" s="1109"/>
      <c r="X14" s="1109"/>
      <c r="Y14" s="1109"/>
      <c r="Z14" s="1109"/>
      <c r="AA14" s="1109"/>
      <c r="AB14" s="1109"/>
      <c r="AC14" s="1061"/>
      <c r="AD14" s="1064"/>
    </row>
    <row r="15" spans="3:32" x14ac:dyDescent="0.3">
      <c r="C15" s="1054" t="s">
        <v>571</v>
      </c>
      <c r="E15" s="1109"/>
      <c r="F15" s="1109"/>
      <c r="G15" s="1109"/>
      <c r="H15" s="1109"/>
      <c r="I15" s="1109"/>
      <c r="J15" s="1109"/>
      <c r="K15" s="1109"/>
      <c r="L15" s="1109"/>
      <c r="M15" s="1109"/>
      <c r="N15" s="1109"/>
      <c r="O15" s="1109"/>
      <c r="P15" s="1109"/>
      <c r="Q15" s="1109"/>
      <c r="R15" s="1109"/>
      <c r="S15" s="1109"/>
      <c r="T15" s="1109"/>
      <c r="U15" s="1109"/>
      <c r="V15" s="1109"/>
      <c r="W15" s="1109"/>
      <c r="X15" s="1109"/>
      <c r="Y15" s="1109"/>
      <c r="Z15" s="1109"/>
      <c r="AA15" s="1109"/>
      <c r="AB15" s="1109"/>
      <c r="AC15" s="1061">
        <f>SUM(E15:J15)</f>
        <v>0</v>
      </c>
    </row>
    <row r="16" spans="3:32" x14ac:dyDescent="0.3">
      <c r="C16" s="1054" t="s">
        <v>572</v>
      </c>
      <c r="E16" s="1091">
        <v>577.96743400000003</v>
      </c>
      <c r="F16" s="1091">
        <v>1139.3178789999999</v>
      </c>
      <c r="G16" s="1091">
        <v>155.75774400000003</v>
      </c>
      <c r="H16" s="1091">
        <v>1553.6922180000001</v>
      </c>
      <c r="I16" s="1091">
        <v>861.86536000000012</v>
      </c>
      <c r="J16" s="1091">
        <v>109.024592</v>
      </c>
      <c r="K16" s="1091">
        <v>664.67477299999996</v>
      </c>
      <c r="L16" s="1109"/>
      <c r="M16" s="1109"/>
      <c r="N16" s="1109"/>
      <c r="O16" s="1109"/>
      <c r="P16" s="1109"/>
      <c r="Q16" s="1109"/>
      <c r="R16" s="1109"/>
      <c r="S16" s="1109"/>
      <c r="T16" s="1109"/>
      <c r="U16" s="1109"/>
      <c r="V16" s="1109"/>
      <c r="W16" s="1109"/>
      <c r="X16" s="1109"/>
      <c r="Y16" s="1109"/>
      <c r="Z16" s="1109"/>
      <c r="AA16" s="1109"/>
      <c r="AB16" s="1109"/>
      <c r="AC16" s="1061">
        <f>SUM(E16:J16)</f>
        <v>4397.6252269999995</v>
      </c>
    </row>
    <row r="17" spans="3:31" x14ac:dyDescent="0.3">
      <c r="C17" s="1054" t="s">
        <v>251</v>
      </c>
      <c r="E17" s="1091">
        <v>0</v>
      </c>
      <c r="F17" s="1091">
        <v>0</v>
      </c>
      <c r="G17" s="1091">
        <v>0</v>
      </c>
      <c r="H17" s="1091">
        <v>262920.27999999991</v>
      </c>
      <c r="I17" s="1091">
        <v>212457.41</v>
      </c>
      <c r="J17" s="1091">
        <v>24622.310000000005</v>
      </c>
      <c r="K17" s="1091">
        <v>0</v>
      </c>
      <c r="L17" s="1111"/>
      <c r="M17" s="1109"/>
      <c r="N17" s="1109"/>
      <c r="O17" s="1109"/>
      <c r="P17" s="1109"/>
      <c r="Q17" s="1109"/>
      <c r="R17" s="1109"/>
      <c r="S17" s="1109"/>
      <c r="T17" s="1109"/>
      <c r="U17" s="1109"/>
      <c r="V17" s="1109"/>
      <c r="W17" s="1109"/>
      <c r="X17" s="1109"/>
      <c r="Y17" s="1109"/>
      <c r="Z17" s="1109"/>
      <c r="AA17" s="1109"/>
      <c r="AB17" s="1109"/>
      <c r="AC17" s="1061">
        <f>SUM(E17:L17)</f>
        <v>499999.99999999994</v>
      </c>
    </row>
    <row r="18" spans="3:31" x14ac:dyDescent="0.3">
      <c r="C18" s="1054" t="s">
        <v>573</v>
      </c>
      <c r="E18" s="1110"/>
      <c r="F18" s="1110"/>
      <c r="G18" s="1091">
        <v>85000</v>
      </c>
      <c r="H18" s="1110"/>
      <c r="I18" s="1110"/>
      <c r="J18" s="1110"/>
      <c r="K18" s="1110"/>
      <c r="L18" s="1110"/>
      <c r="M18" s="1109"/>
      <c r="N18" s="1109"/>
      <c r="O18" s="1109"/>
      <c r="P18" s="1109"/>
      <c r="Q18" s="1109"/>
      <c r="R18" s="1109"/>
      <c r="S18" s="1109"/>
      <c r="T18" s="1109"/>
      <c r="U18" s="1109"/>
      <c r="V18" s="1109"/>
      <c r="W18" s="1109"/>
      <c r="X18" s="1109"/>
      <c r="Y18" s="1109"/>
      <c r="Z18" s="1109"/>
      <c r="AA18" s="1109"/>
      <c r="AB18" s="1109"/>
      <c r="AC18" s="1061">
        <f>SUM(E18:L18)</f>
        <v>85000</v>
      </c>
    </row>
    <row r="19" spans="3:31" x14ac:dyDescent="0.3">
      <c r="C19" s="1054" t="s">
        <v>574</v>
      </c>
      <c r="E19" s="1110"/>
      <c r="F19" s="1110"/>
      <c r="G19" s="1110"/>
      <c r="H19" s="1110"/>
      <c r="I19" s="1110"/>
      <c r="J19" s="1112">
        <v>100000</v>
      </c>
      <c r="K19" s="1110"/>
      <c r="L19" s="1110"/>
      <c r="M19" s="1109"/>
      <c r="N19" s="1109"/>
      <c r="O19" s="1109"/>
      <c r="P19" s="1109"/>
      <c r="Q19" s="1109"/>
      <c r="R19" s="1109"/>
      <c r="S19" s="1109"/>
      <c r="T19" s="1109"/>
      <c r="U19" s="1109"/>
      <c r="V19" s="1109"/>
      <c r="W19" s="1109"/>
      <c r="X19" s="1109"/>
      <c r="Y19" s="1109"/>
      <c r="Z19" s="1109"/>
      <c r="AA19" s="1109"/>
      <c r="AB19" s="1109"/>
      <c r="AC19" s="1061">
        <f>SUM(E19:L19)</f>
        <v>100000</v>
      </c>
    </row>
    <row r="20" spans="3:31" x14ac:dyDescent="0.3">
      <c r="C20" s="1054" t="s">
        <v>449</v>
      </c>
      <c r="E20" s="1109"/>
      <c r="F20" s="1109"/>
      <c r="G20" s="1109"/>
      <c r="H20" s="1109"/>
      <c r="I20" s="1109"/>
      <c r="J20" s="1109"/>
      <c r="K20" s="1109"/>
      <c r="L20" s="1109"/>
      <c r="M20" s="1109"/>
      <c r="N20" s="1109"/>
      <c r="O20" s="1109"/>
      <c r="P20" s="1109"/>
      <c r="Q20" s="1109"/>
      <c r="R20" s="1109"/>
      <c r="S20" s="1109"/>
      <c r="T20" s="1109"/>
      <c r="U20" s="1109"/>
      <c r="V20" s="1109"/>
      <c r="W20" s="1109"/>
      <c r="X20" s="1109"/>
      <c r="Y20" s="1109"/>
      <c r="Z20" s="1109"/>
      <c r="AA20" s="1109"/>
      <c r="AB20" s="1109"/>
      <c r="AC20" s="1061">
        <f>SUM(E20:J20)</f>
        <v>0</v>
      </c>
    </row>
    <row r="21" spans="3:31" x14ac:dyDescent="0.3">
      <c r="C21" s="1054" t="s">
        <v>575</v>
      </c>
      <c r="E21" s="1110"/>
      <c r="F21" s="1110"/>
      <c r="G21" s="1110"/>
      <c r="H21" s="1110"/>
      <c r="I21" s="1110"/>
      <c r="J21" s="1110"/>
      <c r="K21" s="1110"/>
      <c r="L21" s="1061">
        <v>8322</v>
      </c>
      <c r="M21" s="1109"/>
      <c r="N21" s="1109"/>
      <c r="O21" s="1109"/>
      <c r="P21" s="1109"/>
      <c r="Q21" s="1109"/>
      <c r="R21" s="1109"/>
      <c r="S21" s="1109"/>
      <c r="T21" s="1109"/>
      <c r="U21" s="1109"/>
      <c r="V21" s="1109"/>
      <c r="W21" s="1109"/>
      <c r="X21" s="1109"/>
      <c r="Y21" s="1109"/>
      <c r="Z21" s="1109"/>
      <c r="AA21" s="1109"/>
      <c r="AB21" s="1109"/>
      <c r="AC21" s="1061">
        <f>SUM(E21:J21)</f>
        <v>0</v>
      </c>
      <c r="AE21" s="1056" t="s">
        <v>576</v>
      </c>
    </row>
    <row r="22" spans="3:31" x14ac:dyDescent="0.3">
      <c r="C22" s="1054" t="s">
        <v>577</v>
      </c>
      <c r="E22" s="1110"/>
      <c r="F22" s="1110"/>
      <c r="G22" s="1110"/>
      <c r="H22" s="1110"/>
      <c r="I22" s="1110"/>
      <c r="J22" s="1110"/>
      <c r="K22" s="1110"/>
      <c r="L22" s="1061">
        <v>271910</v>
      </c>
      <c r="M22" s="1109"/>
      <c r="N22" s="1109"/>
      <c r="O22" s="1109"/>
      <c r="P22" s="1109"/>
      <c r="Q22" s="1109"/>
      <c r="R22" s="1109"/>
      <c r="S22" s="1109"/>
      <c r="T22" s="1109"/>
      <c r="U22" s="1109"/>
      <c r="V22" s="1109"/>
      <c r="W22" s="1109"/>
      <c r="X22" s="1109"/>
      <c r="Y22" s="1109"/>
      <c r="Z22" s="1109"/>
      <c r="AA22" s="1109"/>
      <c r="AB22" s="1109"/>
      <c r="AC22" s="1061">
        <f>SUM(E22:J22)</f>
        <v>0</v>
      </c>
    </row>
    <row r="23" spans="3:31" x14ac:dyDescent="0.3">
      <c r="C23" s="1054" t="s">
        <v>578</v>
      </c>
      <c r="E23" s="1110"/>
      <c r="F23" s="1110"/>
      <c r="G23" s="1110"/>
      <c r="H23" s="1110"/>
      <c r="I23" s="1110"/>
      <c r="J23" s="1110"/>
      <c r="K23" s="1110"/>
      <c r="L23" s="1061">
        <v>331240</v>
      </c>
      <c r="M23" s="1109"/>
      <c r="N23" s="1109"/>
      <c r="O23" s="1109"/>
      <c r="P23" s="1109"/>
      <c r="Q23" s="1109"/>
      <c r="R23" s="1109"/>
      <c r="S23" s="1109"/>
      <c r="T23" s="1109"/>
      <c r="U23" s="1109"/>
      <c r="V23" s="1109"/>
      <c r="W23" s="1109"/>
      <c r="X23" s="1109"/>
      <c r="Y23" s="1109"/>
      <c r="Z23" s="1109"/>
      <c r="AA23" s="1109"/>
      <c r="AB23" s="1109"/>
      <c r="AC23" s="1061">
        <f>SUM(E23:J23)</f>
        <v>0</v>
      </c>
    </row>
    <row r="24" spans="3:31" x14ac:dyDescent="0.3">
      <c r="C24" s="1054" t="s">
        <v>579</v>
      </c>
      <c r="E24" s="1110"/>
      <c r="F24" s="1110"/>
      <c r="G24" s="1110"/>
      <c r="H24" s="1110"/>
      <c r="I24" s="1110"/>
      <c r="J24" s="1110"/>
      <c r="K24" s="1110"/>
      <c r="L24" s="1061">
        <v>8324</v>
      </c>
      <c r="M24" s="1109"/>
      <c r="N24" s="1109"/>
      <c r="O24" s="1109"/>
      <c r="P24" s="1109"/>
      <c r="Q24" s="1109"/>
      <c r="R24" s="1109"/>
      <c r="S24" s="1109"/>
      <c r="T24" s="1109"/>
      <c r="U24" s="1109"/>
      <c r="V24" s="1109"/>
      <c r="W24" s="1109"/>
      <c r="X24" s="1109"/>
      <c r="Y24" s="1109"/>
      <c r="Z24" s="1109"/>
      <c r="AA24" s="1109"/>
      <c r="AB24" s="1109"/>
      <c r="AC24" s="1061">
        <f>SUM(E24:J24)</f>
        <v>0</v>
      </c>
    </row>
    <row r="25" spans="3:31" x14ac:dyDescent="0.3">
      <c r="C25" s="1054" t="s">
        <v>252</v>
      </c>
      <c r="E25" s="1109"/>
      <c r="F25" s="1109"/>
      <c r="G25" s="1109"/>
      <c r="H25" s="1109"/>
      <c r="I25" s="1109"/>
      <c r="J25" s="1109"/>
      <c r="K25" s="1109"/>
      <c r="L25" s="1109"/>
      <c r="M25" s="1109"/>
      <c r="N25" s="1109"/>
      <c r="O25" s="1109"/>
      <c r="P25" s="1109"/>
      <c r="Q25" s="1109"/>
      <c r="R25" s="1109"/>
      <c r="S25" s="1109"/>
      <c r="T25" s="1109"/>
      <c r="U25" s="1109"/>
      <c r="V25" s="1109"/>
      <c r="W25" s="1109"/>
      <c r="X25" s="1109"/>
      <c r="Y25" s="1109"/>
      <c r="Z25" s="1109"/>
      <c r="AA25" s="1061">
        <v>12500</v>
      </c>
      <c r="AB25" s="1109"/>
      <c r="AC25" s="1061"/>
    </row>
    <row r="26" spans="3:31" x14ac:dyDescent="0.3">
      <c r="C26" s="1054" t="s">
        <v>626</v>
      </c>
      <c r="E26" s="1109"/>
      <c r="F26" s="1109"/>
      <c r="G26" s="1109"/>
      <c r="H26" s="1109"/>
      <c r="I26" s="1109"/>
      <c r="J26" s="1109"/>
      <c r="K26" s="1109"/>
      <c r="L26" s="1109"/>
      <c r="M26" s="1109"/>
      <c r="N26" s="1109"/>
      <c r="O26" s="1109"/>
      <c r="P26" s="1109"/>
      <c r="Q26" s="1109"/>
      <c r="R26" s="1109"/>
      <c r="S26" s="1109"/>
      <c r="T26" s="1109"/>
      <c r="U26" s="1109"/>
      <c r="V26" s="1109"/>
      <c r="W26" s="1109"/>
      <c r="X26" s="1109"/>
      <c r="Y26" s="1109"/>
      <c r="Z26" s="1109"/>
      <c r="AA26" s="1061">
        <v>26417</v>
      </c>
      <c r="AB26" s="1109"/>
      <c r="AC26" s="1061"/>
    </row>
    <row r="27" spans="3:31" x14ac:dyDescent="0.3">
      <c r="C27" s="1054" t="s">
        <v>627</v>
      </c>
      <c r="E27" s="1109"/>
      <c r="F27" s="1109"/>
      <c r="G27" s="1109"/>
      <c r="H27" s="1109"/>
      <c r="I27" s="1109"/>
      <c r="J27" s="1109"/>
      <c r="K27" s="1109"/>
      <c r="L27" s="1109"/>
      <c r="M27" s="1109"/>
      <c r="N27" s="1109"/>
      <c r="O27" s="1109"/>
      <c r="P27" s="1109"/>
      <c r="Q27" s="1109"/>
      <c r="R27" s="1109"/>
      <c r="S27" s="1109"/>
      <c r="T27" s="1109"/>
      <c r="U27" s="1109"/>
      <c r="V27" s="1109"/>
      <c r="W27" s="1109"/>
      <c r="X27" s="1109"/>
      <c r="Y27" s="1109"/>
      <c r="Z27" s="1109"/>
      <c r="AA27" s="1061">
        <v>12500</v>
      </c>
      <c r="AB27" s="1109"/>
      <c r="AC27" s="1061"/>
    </row>
    <row r="28" spans="3:31" x14ac:dyDescent="0.3">
      <c r="C28" s="1054" t="s">
        <v>253</v>
      </c>
      <c r="E28" s="1109"/>
      <c r="F28" s="1109"/>
      <c r="G28" s="1109"/>
      <c r="H28" s="1109"/>
      <c r="I28" s="1109"/>
      <c r="J28" s="1109"/>
      <c r="K28" s="1109"/>
      <c r="L28" s="1109"/>
      <c r="M28" s="1109"/>
      <c r="N28" s="1109"/>
      <c r="O28" s="1109"/>
      <c r="P28" s="1109"/>
      <c r="Q28" s="1109"/>
      <c r="R28" s="1109"/>
      <c r="S28" s="1109"/>
      <c r="T28" s="1109"/>
      <c r="U28" s="1109">
        <f>2900000*(2/6)</f>
        <v>966666.66666666663</v>
      </c>
      <c r="V28" s="1109">
        <f>2900000*(2/6)</f>
        <v>966666.66666666663</v>
      </c>
      <c r="W28" s="1109">
        <f>2900000*(1/6)</f>
        <v>483333.33333333331</v>
      </c>
      <c r="X28" s="1109">
        <f>2900000*(1/6)</f>
        <v>483333.33333333331</v>
      </c>
      <c r="Y28" s="1109">
        <v>418212</v>
      </c>
      <c r="Z28" s="1109"/>
      <c r="AA28" s="1061">
        <v>162594</v>
      </c>
      <c r="AB28" s="1109"/>
      <c r="AC28" s="1061"/>
    </row>
    <row r="29" spans="3:31" x14ac:dyDescent="0.3">
      <c r="C29" s="1054" t="s">
        <v>254</v>
      </c>
      <c r="E29" s="1109"/>
      <c r="F29" s="1109"/>
      <c r="G29" s="1109"/>
      <c r="H29" s="1109"/>
      <c r="I29" s="1109"/>
      <c r="J29" s="1109"/>
      <c r="K29" s="1109"/>
      <c r="L29" s="1109"/>
      <c r="M29" s="1109"/>
      <c r="N29" s="1109"/>
      <c r="O29" s="1109"/>
      <c r="P29" s="1109"/>
      <c r="Q29" s="1109"/>
      <c r="R29" s="1109"/>
      <c r="S29" s="1109"/>
      <c r="T29" s="1109"/>
      <c r="U29" s="1109"/>
      <c r="V29" s="1109"/>
      <c r="W29" s="1109"/>
      <c r="X29" s="1109"/>
      <c r="Y29" s="1109"/>
      <c r="Z29" s="1109"/>
      <c r="AA29" s="1061">
        <v>15500</v>
      </c>
      <c r="AB29" s="1109"/>
      <c r="AC29" s="1061"/>
    </row>
    <row r="30" spans="3:31" x14ac:dyDescent="0.3">
      <c r="C30" s="1054" t="s">
        <v>628</v>
      </c>
      <c r="E30" s="1109"/>
      <c r="F30" s="1109"/>
      <c r="G30" s="1109"/>
      <c r="H30" s="1109"/>
      <c r="I30" s="1109"/>
      <c r="J30" s="1109"/>
      <c r="K30" s="1109"/>
      <c r="L30" s="1109"/>
      <c r="M30" s="1109"/>
      <c r="N30" s="1109"/>
      <c r="O30" s="1109"/>
      <c r="P30" s="1109"/>
      <c r="Q30" s="1109"/>
      <c r="R30" s="1109"/>
      <c r="S30" s="1109"/>
      <c r="T30" s="1109"/>
      <c r="U30" s="1109"/>
      <c r="V30" s="1109"/>
      <c r="W30" s="1109"/>
      <c r="X30" s="1109"/>
      <c r="Y30" s="1109"/>
      <c r="Z30" s="1109"/>
      <c r="AA30" s="1061">
        <v>2932</v>
      </c>
      <c r="AB30" s="1109"/>
      <c r="AC30" s="1061"/>
    </row>
    <row r="31" spans="3:31" x14ac:dyDescent="0.3">
      <c r="C31" s="1054" t="s">
        <v>255</v>
      </c>
      <c r="E31" s="1109"/>
      <c r="F31" s="1109"/>
      <c r="G31" s="1109"/>
      <c r="H31" s="1109"/>
      <c r="I31" s="1109"/>
      <c r="J31" s="1109"/>
      <c r="K31" s="1109"/>
      <c r="L31" s="1109"/>
      <c r="M31" s="1109"/>
      <c r="N31" s="1109"/>
      <c r="O31" s="1109"/>
      <c r="P31" s="1109"/>
      <c r="Q31" s="1109"/>
      <c r="R31" s="1109"/>
      <c r="S31" s="1109"/>
      <c r="T31" s="1109"/>
      <c r="U31" s="1109"/>
      <c r="V31" s="1109"/>
      <c r="W31" s="1109"/>
      <c r="X31" s="1109"/>
      <c r="Y31" s="1109"/>
      <c r="Z31" s="1109"/>
      <c r="AA31" s="1109"/>
      <c r="AB31" s="1109"/>
      <c r="AC31" s="1061"/>
    </row>
    <row r="32" spans="3:31" x14ac:dyDescent="0.3">
      <c r="C32" s="1054" t="s">
        <v>256</v>
      </c>
      <c r="E32" s="1109"/>
      <c r="F32" s="1109"/>
      <c r="G32" s="1109"/>
      <c r="H32" s="1109"/>
      <c r="I32" s="1109"/>
      <c r="J32" s="1109"/>
      <c r="K32" s="1109"/>
      <c r="L32" s="1109"/>
      <c r="M32" s="1109"/>
      <c r="N32" s="1109"/>
      <c r="O32" s="1109"/>
      <c r="P32" s="1109"/>
      <c r="Q32" s="1109"/>
      <c r="R32" s="1109"/>
      <c r="S32" s="1109"/>
      <c r="T32" s="1109"/>
      <c r="U32" s="1109"/>
      <c r="V32" s="1109"/>
      <c r="W32" s="1109"/>
      <c r="X32" s="1109"/>
      <c r="Y32" s="1109"/>
      <c r="Z32" s="1109"/>
      <c r="AA32" s="1109"/>
      <c r="AB32" s="1109"/>
      <c r="AC32" s="1061"/>
    </row>
    <row r="33" spans="3:31" x14ac:dyDescent="0.3">
      <c r="C33" s="1054" t="s">
        <v>257</v>
      </c>
      <c r="E33" s="1109"/>
      <c r="F33" s="1109"/>
      <c r="G33" s="1109"/>
      <c r="H33" s="1109"/>
      <c r="I33" s="1109"/>
      <c r="J33" s="1109"/>
      <c r="K33" s="1109"/>
      <c r="L33" s="1109"/>
      <c r="M33" s="1109"/>
      <c r="N33" s="1109"/>
      <c r="O33" s="1109"/>
      <c r="P33" s="1109"/>
      <c r="Q33" s="1109"/>
      <c r="R33" s="1109"/>
      <c r="S33" s="1109"/>
      <c r="T33" s="1109"/>
      <c r="U33" s="1109"/>
      <c r="V33" s="1109"/>
      <c r="W33" s="1109"/>
      <c r="X33" s="1109"/>
      <c r="Y33" s="1109"/>
      <c r="Z33" s="1109"/>
      <c r="AA33" s="1109"/>
      <c r="AB33" s="1109"/>
      <c r="AC33" s="1061"/>
    </row>
    <row r="34" spans="3:31" x14ac:dyDescent="0.3">
      <c r="C34" s="1067" t="s">
        <v>166</v>
      </c>
      <c r="E34" s="1109"/>
      <c r="F34" s="1109"/>
      <c r="G34" s="1109"/>
      <c r="H34" s="1109"/>
      <c r="I34" s="1109"/>
      <c r="J34" s="1109"/>
      <c r="K34" s="1109"/>
      <c r="L34" s="1109"/>
      <c r="M34" s="1109"/>
      <c r="N34" s="1109"/>
      <c r="O34" s="1109"/>
      <c r="P34" s="1109"/>
      <c r="Q34" s="1109"/>
      <c r="R34" s="1109"/>
      <c r="S34" s="1109"/>
      <c r="T34" s="1109"/>
      <c r="U34" s="1109"/>
      <c r="V34" s="1109"/>
      <c r="W34" s="1109"/>
      <c r="X34" s="1109"/>
      <c r="Y34" s="1109"/>
      <c r="Z34" s="1109"/>
      <c r="AA34" s="1109"/>
      <c r="AB34" s="1109"/>
    </row>
    <row r="35" spans="3:31" x14ac:dyDescent="0.3">
      <c r="C35" s="1067" t="s">
        <v>115</v>
      </c>
      <c r="D35" s="1061"/>
      <c r="E35" s="1109"/>
      <c r="F35" s="1109"/>
      <c r="G35" s="1109"/>
      <c r="H35" s="1109"/>
      <c r="I35" s="1109"/>
      <c r="J35" s="1109"/>
      <c r="K35" s="1109"/>
      <c r="L35" s="1109"/>
      <c r="M35" s="1109"/>
      <c r="N35" s="1109"/>
      <c r="O35" s="1109"/>
      <c r="P35" s="1109"/>
      <c r="Q35" s="1109"/>
      <c r="R35" s="1109"/>
      <c r="S35" s="1109"/>
      <c r="T35" s="1109"/>
      <c r="U35" s="1109"/>
      <c r="V35" s="1109"/>
      <c r="W35" s="1109"/>
      <c r="X35" s="1109"/>
      <c r="Y35" s="1109"/>
      <c r="Z35" s="1109"/>
      <c r="AA35" s="1109"/>
      <c r="AB35" s="1109"/>
      <c r="AC35" s="1061"/>
    </row>
    <row r="36" spans="3:31" x14ac:dyDescent="0.3">
      <c r="C36" s="1067" t="s">
        <v>258</v>
      </c>
      <c r="E36" s="1109"/>
      <c r="F36" s="1109"/>
      <c r="G36" s="1109"/>
      <c r="H36" s="1109"/>
      <c r="I36" s="1109"/>
      <c r="J36" s="1109"/>
      <c r="K36" s="1109"/>
      <c r="L36" s="1109"/>
      <c r="M36" s="1109"/>
      <c r="N36" s="1109"/>
      <c r="O36" s="1109"/>
      <c r="P36" s="1109"/>
      <c r="Q36" s="1109"/>
      <c r="R36" s="1109"/>
      <c r="S36" s="1109"/>
      <c r="T36" s="1109"/>
      <c r="U36" s="1109"/>
      <c r="V36" s="1109"/>
      <c r="W36" s="1109"/>
      <c r="X36" s="1109"/>
      <c r="Y36" s="1109"/>
      <c r="Z36" s="1109"/>
      <c r="AA36" s="1109"/>
      <c r="AB36" s="1109"/>
    </row>
    <row r="37" spans="3:31" x14ac:dyDescent="0.3">
      <c r="C37" s="1067" t="s">
        <v>259</v>
      </c>
      <c r="E37" s="1109"/>
      <c r="F37" s="1109"/>
      <c r="G37" s="1109"/>
      <c r="H37" s="1109"/>
      <c r="I37" s="1109"/>
      <c r="J37" s="1109"/>
      <c r="K37" s="1109"/>
      <c r="L37" s="1109"/>
      <c r="M37" s="1109"/>
      <c r="N37" s="1109"/>
      <c r="O37" s="1109"/>
      <c r="P37" s="1109"/>
      <c r="Q37" s="1109"/>
      <c r="R37" s="1109"/>
      <c r="S37" s="1109"/>
      <c r="T37" s="1109"/>
      <c r="U37" s="1109"/>
      <c r="V37" s="1109"/>
      <c r="W37" s="1109"/>
      <c r="X37" s="1109"/>
      <c r="Y37" s="1109"/>
      <c r="Z37" s="1109"/>
      <c r="AA37" s="1109"/>
      <c r="AB37" s="1109"/>
      <c r="AC37" s="1061">
        <f>SUM(E37:K37)</f>
        <v>0</v>
      </c>
      <c r="AD37" s="1056" t="s">
        <v>566</v>
      </c>
    </row>
    <row r="38" spans="3:31" x14ac:dyDescent="0.3">
      <c r="C38" s="1067" t="s">
        <v>165</v>
      </c>
      <c r="E38" s="1109"/>
      <c r="F38" s="1109"/>
      <c r="G38" s="1109"/>
      <c r="H38" s="1109"/>
      <c r="I38" s="1109"/>
      <c r="J38" s="1109"/>
      <c r="K38" s="1109"/>
      <c r="L38" s="1109"/>
      <c r="M38" s="1109"/>
      <c r="N38" s="1109"/>
      <c r="O38" s="1109"/>
      <c r="P38" s="1109"/>
      <c r="Q38" s="1109"/>
      <c r="R38" s="1109"/>
      <c r="S38" s="1109"/>
      <c r="T38" s="1109"/>
      <c r="U38" s="1109"/>
      <c r="V38" s="1109"/>
      <c r="W38" s="1109"/>
      <c r="X38" s="1109"/>
      <c r="Y38" s="1109"/>
      <c r="Z38" s="1109"/>
      <c r="AA38" s="1109"/>
      <c r="AB38" s="1109"/>
      <c r="AC38" s="1061">
        <f t="shared" ref="AC38:AC51" si="0">SUM(E38:J38)</f>
        <v>0</v>
      </c>
      <c r="AD38" s="1056" t="s">
        <v>567</v>
      </c>
    </row>
    <row r="39" spans="3:31" x14ac:dyDescent="0.3">
      <c r="C39" s="1067" t="s">
        <v>260</v>
      </c>
      <c r="E39" s="1109"/>
      <c r="F39" s="1109"/>
      <c r="G39" s="1109"/>
      <c r="H39" s="1109"/>
      <c r="I39" s="1109"/>
      <c r="J39" s="1109"/>
      <c r="K39" s="1109"/>
      <c r="L39" s="1109"/>
      <c r="M39" s="1109"/>
      <c r="N39" s="1109"/>
      <c r="O39" s="1109"/>
      <c r="P39" s="1109"/>
      <c r="Q39" s="1109"/>
      <c r="R39" s="1109"/>
      <c r="S39" s="1109"/>
      <c r="T39" s="1109"/>
      <c r="U39" s="1109"/>
      <c r="V39" s="1109"/>
      <c r="W39" s="1109"/>
      <c r="X39" s="1109"/>
      <c r="Y39" s="1109"/>
      <c r="Z39" s="1109"/>
      <c r="AA39" s="1109"/>
      <c r="AB39" s="1109"/>
      <c r="AC39" s="1061">
        <f t="shared" si="0"/>
        <v>0</v>
      </c>
      <c r="AD39" s="1056" t="s">
        <v>568</v>
      </c>
    </row>
    <row r="40" spans="3:31" x14ac:dyDescent="0.3">
      <c r="C40" s="1067" t="s">
        <v>261</v>
      </c>
      <c r="E40" s="1109"/>
      <c r="F40" s="1109"/>
      <c r="G40" s="1109"/>
      <c r="H40" s="1109"/>
      <c r="I40" s="1109"/>
      <c r="J40" s="1109"/>
      <c r="K40" s="1109"/>
      <c r="L40" s="1109"/>
      <c r="M40" s="1109"/>
      <c r="N40" s="1109"/>
      <c r="O40" s="1109"/>
      <c r="P40" s="1109"/>
      <c r="Q40" s="1109"/>
      <c r="R40" s="1109"/>
      <c r="S40" s="1109"/>
      <c r="T40" s="1109"/>
      <c r="U40" s="1109"/>
      <c r="V40" s="1109"/>
      <c r="W40" s="1109"/>
      <c r="X40" s="1109"/>
      <c r="Y40" s="1109"/>
      <c r="Z40" s="1109"/>
      <c r="AA40" s="1109"/>
      <c r="AB40" s="1109"/>
      <c r="AC40" s="1061">
        <f t="shared" si="0"/>
        <v>0</v>
      </c>
      <c r="AD40" s="1056" t="s">
        <v>569</v>
      </c>
    </row>
    <row r="41" spans="3:31" x14ac:dyDescent="0.3">
      <c r="C41" s="1067" t="s">
        <v>262</v>
      </c>
      <c r="E41" s="1109"/>
      <c r="F41" s="1109"/>
      <c r="G41" s="1109"/>
      <c r="H41" s="1109"/>
      <c r="I41" s="1109"/>
      <c r="J41" s="1109"/>
      <c r="K41" s="1109"/>
      <c r="L41" s="1109"/>
      <c r="M41" s="1109"/>
      <c r="N41" s="1109"/>
      <c r="O41" s="1109"/>
      <c r="P41" s="1109"/>
      <c r="Q41" s="1109"/>
      <c r="R41" s="1109"/>
      <c r="S41" s="1109"/>
      <c r="T41" s="1109"/>
      <c r="U41" s="1109"/>
      <c r="V41" s="1109"/>
      <c r="W41" s="1109"/>
      <c r="X41" s="1109"/>
      <c r="Y41" s="1109"/>
      <c r="Z41" s="1109"/>
      <c r="AA41" s="1109"/>
      <c r="AB41" s="1109"/>
      <c r="AC41" s="1061">
        <f t="shared" si="0"/>
        <v>0</v>
      </c>
      <c r="AD41" s="1064" t="s">
        <v>570</v>
      </c>
    </row>
    <row r="42" spans="3:31" x14ac:dyDescent="0.3">
      <c r="C42" s="1067" t="s">
        <v>557</v>
      </c>
      <c r="E42" s="1109"/>
      <c r="F42" s="1109"/>
      <c r="G42" s="1109"/>
      <c r="H42" s="1109"/>
      <c r="I42" s="1109"/>
      <c r="J42" s="1109"/>
      <c r="K42" s="1109"/>
      <c r="L42" s="1109"/>
      <c r="M42" s="1109"/>
      <c r="N42" s="1109"/>
      <c r="O42" s="1109"/>
      <c r="P42" s="1109"/>
      <c r="Q42" s="1109"/>
      <c r="R42" s="1109"/>
      <c r="S42" s="1109"/>
      <c r="T42" s="1109"/>
      <c r="U42" s="1109"/>
      <c r="V42" s="1109"/>
      <c r="W42" s="1109"/>
      <c r="X42" s="1109"/>
      <c r="Y42" s="1109"/>
      <c r="Z42" s="1109"/>
      <c r="AA42" s="1109"/>
      <c r="AB42" s="1109"/>
      <c r="AC42" s="1061">
        <f t="shared" si="0"/>
        <v>0</v>
      </c>
    </row>
    <row r="43" spans="3:31" x14ac:dyDescent="0.3">
      <c r="C43" s="1067" t="s">
        <v>263</v>
      </c>
      <c r="E43" s="1109"/>
      <c r="F43" s="1109"/>
      <c r="G43" s="1109"/>
      <c r="H43" s="1109"/>
      <c r="I43" s="1109"/>
      <c r="J43" s="1109"/>
      <c r="K43" s="1109"/>
      <c r="L43" s="1109"/>
      <c r="M43" s="1109"/>
      <c r="N43" s="1109"/>
      <c r="O43" s="1109"/>
      <c r="P43" s="1109"/>
      <c r="Q43" s="1109"/>
      <c r="R43" s="1109"/>
      <c r="S43" s="1109"/>
      <c r="T43" s="1109"/>
      <c r="U43" s="1109"/>
      <c r="V43" s="1109"/>
      <c r="W43" s="1109"/>
      <c r="X43" s="1109"/>
      <c r="Y43" s="1109"/>
      <c r="Z43" s="1109"/>
      <c r="AA43" s="1109"/>
      <c r="AB43" s="1109"/>
      <c r="AC43" s="1061">
        <f t="shared" si="0"/>
        <v>0</v>
      </c>
    </row>
    <row r="44" spans="3:31" x14ac:dyDescent="0.3">
      <c r="E44" s="1109"/>
      <c r="F44" s="1109"/>
      <c r="G44" s="1109"/>
      <c r="H44" s="1109"/>
      <c r="I44" s="1109"/>
      <c r="J44" s="1109"/>
      <c r="K44" s="1109"/>
      <c r="L44" s="1109"/>
      <c r="M44" s="1109"/>
      <c r="N44" s="1109"/>
      <c r="O44" s="1109"/>
      <c r="P44" s="1109"/>
      <c r="Q44" s="1109"/>
      <c r="R44" s="1109"/>
      <c r="S44" s="1109"/>
      <c r="T44" s="1109"/>
      <c r="U44" s="1109"/>
      <c r="V44" s="1109"/>
      <c r="W44" s="1109"/>
      <c r="X44" s="1109"/>
      <c r="Y44" s="1109"/>
      <c r="Z44" s="1109"/>
      <c r="AA44" s="1109"/>
      <c r="AB44" s="1109"/>
      <c r="AC44" s="1061">
        <f t="shared" si="0"/>
        <v>0</v>
      </c>
    </row>
    <row r="45" spans="3:31" x14ac:dyDescent="0.3">
      <c r="E45" s="1109"/>
      <c r="F45" s="1109"/>
      <c r="G45" s="1109"/>
      <c r="H45" s="1109"/>
      <c r="I45" s="1109"/>
      <c r="J45" s="1109"/>
      <c r="K45" s="1109"/>
      <c r="L45" s="1109"/>
      <c r="M45" s="1109"/>
      <c r="N45" s="1109"/>
      <c r="O45" s="1109"/>
      <c r="P45" s="1109"/>
      <c r="Q45" s="1109"/>
      <c r="R45" s="1109"/>
      <c r="S45" s="1109"/>
      <c r="T45" s="1109"/>
      <c r="U45" s="1109"/>
      <c r="V45" s="1109"/>
      <c r="W45" s="1109"/>
      <c r="X45" s="1109"/>
      <c r="Y45" s="1109"/>
      <c r="Z45" s="1109"/>
      <c r="AA45" s="1109"/>
      <c r="AB45" s="1109"/>
      <c r="AC45" s="1061">
        <f t="shared" si="0"/>
        <v>0</v>
      </c>
    </row>
    <row r="46" spans="3:31" x14ac:dyDescent="0.3">
      <c r="E46" s="1109"/>
      <c r="F46" s="1109"/>
      <c r="G46" s="1109"/>
      <c r="H46" s="1109"/>
      <c r="I46" s="1109"/>
      <c r="J46" s="1109"/>
      <c r="K46" s="1109"/>
      <c r="L46" s="1109"/>
      <c r="M46" s="1109"/>
      <c r="N46" s="1109"/>
      <c r="O46" s="1109"/>
      <c r="P46" s="1109"/>
      <c r="Q46" s="1109"/>
      <c r="R46" s="1109"/>
      <c r="S46" s="1109"/>
      <c r="T46" s="1109"/>
      <c r="U46" s="1109"/>
      <c r="V46" s="1109"/>
      <c r="W46" s="1109"/>
      <c r="X46" s="1109"/>
      <c r="Y46" s="1109"/>
      <c r="Z46" s="1109"/>
      <c r="AA46" s="1109"/>
      <c r="AB46" s="1109"/>
      <c r="AC46" s="1061">
        <f t="shared" si="0"/>
        <v>0</v>
      </c>
    </row>
    <row r="47" spans="3:31" x14ac:dyDescent="0.3">
      <c r="E47" s="1109"/>
      <c r="F47" s="1109"/>
      <c r="G47" s="1109"/>
      <c r="H47" s="1109"/>
      <c r="I47" s="1109"/>
      <c r="J47" s="1109"/>
      <c r="K47" s="1109"/>
      <c r="L47" s="1109"/>
      <c r="M47" s="1109"/>
      <c r="N47" s="1109"/>
      <c r="O47" s="1109"/>
      <c r="P47" s="1109"/>
      <c r="Q47" s="1109"/>
      <c r="R47" s="1109"/>
      <c r="S47" s="1109"/>
      <c r="T47" s="1109"/>
      <c r="U47" s="1109"/>
      <c r="V47" s="1109"/>
      <c r="W47" s="1109"/>
      <c r="X47" s="1109"/>
      <c r="Y47" s="1109"/>
      <c r="Z47" s="1109"/>
      <c r="AA47" s="1109"/>
      <c r="AB47" s="1109"/>
      <c r="AC47" s="1061">
        <f t="shared" si="0"/>
        <v>0</v>
      </c>
    </row>
    <row r="48" spans="3:31" x14ac:dyDescent="0.3">
      <c r="E48" s="1109"/>
      <c r="F48" s="1109"/>
      <c r="G48" s="1109"/>
      <c r="H48" s="1109"/>
      <c r="I48" s="1109"/>
      <c r="J48" s="1109"/>
      <c r="K48" s="1109"/>
      <c r="L48" s="1109"/>
      <c r="M48" s="1109"/>
      <c r="N48" s="1109"/>
      <c r="O48" s="1109"/>
      <c r="P48" s="1109"/>
      <c r="Q48" s="1109"/>
      <c r="R48" s="1109"/>
      <c r="S48" s="1109"/>
      <c r="T48" s="1109"/>
      <c r="U48" s="1109"/>
      <c r="V48" s="1109"/>
      <c r="W48" s="1109"/>
      <c r="X48" s="1109"/>
      <c r="Y48" s="1109"/>
      <c r="Z48" s="1109"/>
      <c r="AA48" s="1109"/>
      <c r="AB48" s="1109"/>
      <c r="AC48" s="1061">
        <f t="shared" si="0"/>
        <v>0</v>
      </c>
      <c r="AE48" s="1056" t="s">
        <v>576</v>
      </c>
    </row>
    <row r="49" spans="3:33" x14ac:dyDescent="0.3">
      <c r="E49" s="1109"/>
      <c r="F49" s="1109"/>
      <c r="G49" s="1109"/>
      <c r="H49" s="1109"/>
      <c r="I49" s="1109"/>
      <c r="J49" s="1109"/>
      <c r="K49" s="1109"/>
      <c r="L49" s="1109"/>
      <c r="M49" s="1109"/>
      <c r="N49" s="1109"/>
      <c r="O49" s="1109"/>
      <c r="P49" s="1109"/>
      <c r="Q49" s="1109"/>
      <c r="R49" s="1109"/>
      <c r="S49" s="1109"/>
      <c r="T49" s="1109"/>
      <c r="U49" s="1109"/>
      <c r="V49" s="1109"/>
      <c r="W49" s="1109"/>
      <c r="X49" s="1109"/>
      <c r="Y49" s="1109"/>
      <c r="Z49" s="1109"/>
      <c r="AA49" s="1109"/>
      <c r="AB49" s="1109"/>
      <c r="AC49" s="1061">
        <f t="shared" si="0"/>
        <v>0</v>
      </c>
    </row>
    <row r="50" spans="3:33" x14ac:dyDescent="0.3">
      <c r="E50" s="1109"/>
      <c r="F50" s="1109"/>
      <c r="G50" s="1109"/>
      <c r="H50" s="1109"/>
      <c r="I50" s="1109"/>
      <c r="J50" s="1109"/>
      <c r="K50" s="1109"/>
      <c r="L50" s="1109"/>
      <c r="M50" s="1109"/>
      <c r="N50" s="1109"/>
      <c r="O50" s="1109"/>
      <c r="P50" s="1109"/>
      <c r="Q50" s="1109"/>
      <c r="R50" s="1109"/>
      <c r="S50" s="1109"/>
      <c r="T50" s="1109"/>
      <c r="U50" s="1109"/>
      <c r="V50" s="1109"/>
      <c r="W50" s="1109"/>
      <c r="X50" s="1109"/>
      <c r="Y50" s="1109"/>
      <c r="Z50" s="1109"/>
      <c r="AA50" s="1109"/>
      <c r="AB50" s="1109"/>
      <c r="AC50" s="1061">
        <f t="shared" si="0"/>
        <v>0</v>
      </c>
    </row>
    <row r="51" spans="3:33" x14ac:dyDescent="0.3">
      <c r="E51" s="1109"/>
      <c r="F51" s="1109"/>
      <c r="G51" s="1109"/>
      <c r="H51" s="1109"/>
      <c r="I51" s="1109"/>
      <c r="J51" s="1109"/>
      <c r="K51" s="1109"/>
      <c r="L51" s="1109"/>
      <c r="M51" s="1109"/>
      <c r="N51" s="1109"/>
      <c r="O51" s="1109"/>
      <c r="P51" s="1109"/>
      <c r="Q51" s="1109"/>
      <c r="R51" s="1109"/>
      <c r="S51" s="1109"/>
      <c r="T51" s="1109"/>
      <c r="U51" s="1109"/>
      <c r="V51" s="1109"/>
      <c r="W51" s="1109"/>
      <c r="X51" s="1109"/>
      <c r="Y51" s="1109"/>
      <c r="Z51" s="1109"/>
      <c r="AA51" s="1109"/>
      <c r="AB51" s="1109"/>
      <c r="AC51" s="1061">
        <f t="shared" si="0"/>
        <v>0</v>
      </c>
    </row>
    <row r="53" spans="3:33" x14ac:dyDescent="0.3">
      <c r="C53" s="1060" t="s">
        <v>92</v>
      </c>
      <c r="D53" s="1061" t="s">
        <v>681</v>
      </c>
      <c r="E53" s="1061">
        <f>SUM(E3:E51)</f>
        <v>210466.01196500004</v>
      </c>
      <c r="F53" s="1061">
        <f t="shared" ref="F53:J53" si="1">SUM(F37:F51)</f>
        <v>0</v>
      </c>
      <c r="G53" s="1061">
        <f t="shared" si="1"/>
        <v>0</v>
      </c>
      <c r="H53" s="1061">
        <f t="shared" si="1"/>
        <v>0</v>
      </c>
      <c r="I53" s="1061">
        <f>SUM(I37:I51)</f>
        <v>0</v>
      </c>
      <c r="J53" s="1061">
        <f t="shared" si="1"/>
        <v>0</v>
      </c>
      <c r="K53" s="1061"/>
      <c r="L53" s="1061">
        <f>SUM(L37:L51)</f>
        <v>0</v>
      </c>
      <c r="M53" s="1061">
        <f>SUM(M37:M51)</f>
        <v>0</v>
      </c>
      <c r="N53" s="1061">
        <f>SUM(N37:N51)</f>
        <v>0</v>
      </c>
      <c r="O53" s="1061"/>
      <c r="P53" s="1061">
        <f>SUM(P37:P51)</f>
        <v>0</v>
      </c>
      <c r="Q53" s="1061">
        <f t="shared" ref="Q53:U53" si="2">SUM(Q37:Q51)</f>
        <v>0</v>
      </c>
      <c r="R53" s="1061">
        <f t="shared" si="2"/>
        <v>0</v>
      </c>
      <c r="S53" s="1061"/>
      <c r="T53" s="1061"/>
      <c r="U53" s="1061">
        <f t="shared" si="2"/>
        <v>0</v>
      </c>
      <c r="V53" s="1061"/>
      <c r="W53" s="1061"/>
      <c r="X53" s="1061"/>
      <c r="Y53" s="1061"/>
      <c r="Z53" s="1061"/>
      <c r="AA53" s="1061"/>
      <c r="AB53" s="1061"/>
      <c r="AC53" s="1061"/>
    </row>
    <row r="54" spans="3:33" x14ac:dyDescent="0.3">
      <c r="D54" s="1054" t="s">
        <v>581</v>
      </c>
    </row>
    <row r="55" spans="3:33" x14ac:dyDescent="0.3">
      <c r="C55" s="1056" t="s">
        <v>580</v>
      </c>
    </row>
    <row r="56" spans="3:33" x14ac:dyDescent="0.3">
      <c r="C56" s="1056" t="s">
        <v>582</v>
      </c>
      <c r="AG56" s="1065"/>
    </row>
    <row r="57" spans="3:33" x14ac:dyDescent="0.3">
      <c r="C57" s="1056" t="s">
        <v>583</v>
      </c>
    </row>
    <row r="58" spans="3:33" x14ac:dyDescent="0.3">
      <c r="C58" s="1056" t="s">
        <v>584</v>
      </c>
      <c r="E58" s="1061"/>
      <c r="F58" s="1065"/>
      <c r="P58" s="1061">
        <f>+L10+L12</f>
        <v>0</v>
      </c>
      <c r="Q58" s="1065"/>
    </row>
    <row r="59" spans="3:33" x14ac:dyDescent="0.3">
      <c r="C59" s="1056" t="s">
        <v>585</v>
      </c>
      <c r="AC59" s="1056" t="s">
        <v>586</v>
      </c>
    </row>
    <row r="60" spans="3:33" x14ac:dyDescent="0.3">
      <c r="C60" s="1056" t="s">
        <v>587</v>
      </c>
      <c r="E60" s="1056" t="s">
        <v>588</v>
      </c>
      <c r="P60" s="1056" t="s">
        <v>588</v>
      </c>
    </row>
    <row r="61" spans="3:33" x14ac:dyDescent="0.3">
      <c r="C61" s="1056" t="s">
        <v>589</v>
      </c>
      <c r="E61" s="1056" t="s">
        <v>590</v>
      </c>
      <c r="P61" s="1056" t="s">
        <v>590</v>
      </c>
    </row>
    <row r="62" spans="3:33" x14ac:dyDescent="0.3">
      <c r="C62" s="1056" t="s">
        <v>591</v>
      </c>
      <c r="E62" s="1056" t="s">
        <v>592</v>
      </c>
      <c r="P62" s="1056" t="s">
        <v>592</v>
      </c>
    </row>
    <row r="63" spans="3:33" x14ac:dyDescent="0.3">
      <c r="C63" s="1056" t="s">
        <v>593</v>
      </c>
      <c r="E63" s="1056" t="s">
        <v>594</v>
      </c>
      <c r="P63" s="1056" t="s">
        <v>594</v>
      </c>
    </row>
    <row r="64" spans="3:33" x14ac:dyDescent="0.3">
      <c r="C64" s="1056" t="s">
        <v>595</v>
      </c>
      <c r="E64" s="1056" t="s">
        <v>596</v>
      </c>
      <c r="P64" s="1056" t="s">
        <v>596</v>
      </c>
    </row>
    <row r="65" spans="3:12" x14ac:dyDescent="0.3">
      <c r="C65" s="1056" t="s">
        <v>597</v>
      </c>
    </row>
    <row r="66" spans="3:12" x14ac:dyDescent="0.3">
      <c r="C66" s="1056" t="s">
        <v>598</v>
      </c>
    </row>
    <row r="67" spans="3:12" x14ac:dyDescent="0.3">
      <c r="C67" s="1056" t="s">
        <v>599</v>
      </c>
    </row>
    <row r="68" spans="3:12" x14ac:dyDescent="0.3">
      <c r="C68" s="1054" t="s">
        <v>600</v>
      </c>
    </row>
    <row r="69" spans="3:12" x14ac:dyDescent="0.3">
      <c r="C69" s="1056" t="s">
        <v>601</v>
      </c>
    </row>
    <row r="70" spans="3:12" x14ac:dyDescent="0.3">
      <c r="C70" s="1056" t="s">
        <v>602</v>
      </c>
    </row>
    <row r="72" spans="3:12" x14ac:dyDescent="0.3">
      <c r="C72" s="1054" t="s">
        <v>603</v>
      </c>
    </row>
    <row r="75" spans="3:12" x14ac:dyDescent="0.3">
      <c r="F75" s="1056" t="s">
        <v>565</v>
      </c>
      <c r="G75" s="1056" t="s">
        <v>477</v>
      </c>
      <c r="L75" s="1056" t="s">
        <v>644</v>
      </c>
    </row>
    <row r="76" spans="3:12" x14ac:dyDescent="0.3">
      <c r="C76" s="1054" t="s">
        <v>604</v>
      </c>
      <c r="F76" s="1056" t="s">
        <v>642</v>
      </c>
      <c r="G76" s="1061">
        <v>162594</v>
      </c>
      <c r="L76" s="1061"/>
    </row>
    <row r="77" spans="3:12" x14ac:dyDescent="0.3">
      <c r="F77" s="1056" t="s">
        <v>643</v>
      </c>
      <c r="G77" s="1061">
        <v>172106</v>
      </c>
      <c r="L77" s="1061"/>
    </row>
    <row r="78" spans="3:12" x14ac:dyDescent="0.3">
      <c r="F78" s="1056" t="s">
        <v>450</v>
      </c>
      <c r="G78" s="1061">
        <v>7426</v>
      </c>
      <c r="L78" s="1061">
        <v>3899</v>
      </c>
    </row>
    <row r="79" spans="3:12" x14ac:dyDescent="0.3">
      <c r="F79" s="1056" t="s">
        <v>446</v>
      </c>
      <c r="G79" s="1061">
        <v>238680</v>
      </c>
      <c r="L79" s="1061">
        <v>119000</v>
      </c>
    </row>
    <row r="80" spans="3:12" x14ac:dyDescent="0.3">
      <c r="G80" s="1061"/>
      <c r="L80" s="1061"/>
    </row>
    <row r="81" spans="3:12" x14ac:dyDescent="0.3">
      <c r="F81" s="1056" t="s">
        <v>645</v>
      </c>
      <c r="G81" s="1061"/>
      <c r="L81" s="1061">
        <v>488320</v>
      </c>
    </row>
    <row r="82" spans="3:12" x14ac:dyDescent="0.3">
      <c r="C82" s="1054" t="s">
        <v>608</v>
      </c>
    </row>
    <row r="83" spans="3:12" x14ac:dyDescent="0.3">
      <c r="F83" s="1056" t="s">
        <v>642</v>
      </c>
      <c r="G83" s="1061" t="e">
        <f>G76+#REF!+#REF!+#REF!+#REF!+#REF!</f>
        <v>#REF!</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D15A0-8B3F-45F5-B644-AD4B10A50FE4}">
  <dimension ref="B1:AH83"/>
  <sheetViews>
    <sheetView tabSelected="1" workbookViewId="0">
      <selection activeCell="B37" sqref="B37"/>
    </sheetView>
  </sheetViews>
  <sheetFormatPr defaultColWidth="9.109375" defaultRowHeight="14.4" x14ac:dyDescent="0.3"/>
  <cols>
    <col min="1" max="1" width="9.109375" style="1056"/>
    <col min="2" max="2" width="46.6640625" style="1056" customWidth="1"/>
    <col min="3" max="3" width="30.33203125" style="1056" customWidth="1"/>
    <col min="4" max="4" width="52" style="1054" customWidth="1"/>
    <col min="5" max="5" width="12.109375" style="1056" customWidth="1"/>
    <col min="6" max="6" width="10.5546875" style="1056" bestFit="1" customWidth="1"/>
    <col min="7" max="7" width="11.5546875" style="1056" customWidth="1"/>
    <col min="8" max="8" width="10.109375" style="1056" customWidth="1"/>
    <col min="9" max="10" width="10.88671875" style="1056" customWidth="1"/>
    <col min="11" max="11" width="9.109375" style="1056"/>
    <col min="12" max="12" width="14.109375" style="1056" customWidth="1"/>
    <col min="13" max="13" width="10.5546875" style="1056" bestFit="1" customWidth="1"/>
    <col min="14" max="16" width="12.88671875" style="1056" customWidth="1"/>
    <col min="17" max="21" width="12.44140625" style="1056" customWidth="1"/>
    <col min="22" max="25" width="15.21875" style="1056" customWidth="1"/>
    <col min="26" max="29" width="12.88671875" style="1056" customWidth="1"/>
    <col min="30" max="30" width="10.5546875" style="1056" bestFit="1" customWidth="1"/>
    <col min="31" max="33" width="9.109375" style="1056"/>
    <col min="34" max="34" width="11" style="1056" bestFit="1" customWidth="1"/>
    <col min="35" max="16384" width="9.109375" style="1056"/>
  </cols>
  <sheetData>
    <row r="1" spans="2:33" s="1054" customFormat="1" ht="43.2" x14ac:dyDescent="0.3">
      <c r="B1" s="1054" t="s">
        <v>896</v>
      </c>
      <c r="C1" s="1054" t="s">
        <v>898</v>
      </c>
      <c r="D1" s="1054" t="s">
        <v>897</v>
      </c>
      <c r="F1" s="1060" t="s">
        <v>369</v>
      </c>
      <c r="G1" s="1060">
        <v>22</v>
      </c>
      <c r="H1" s="1096">
        <v>28</v>
      </c>
      <c r="I1" s="1096">
        <v>50</v>
      </c>
      <c r="J1" s="1096">
        <v>55</v>
      </c>
      <c r="K1" s="1096">
        <v>51</v>
      </c>
      <c r="L1" s="1096" t="s">
        <v>653</v>
      </c>
      <c r="M1" s="1096">
        <v>30</v>
      </c>
      <c r="N1" s="1097" t="s">
        <v>637</v>
      </c>
      <c r="O1" s="1097" t="s">
        <v>638</v>
      </c>
      <c r="P1" s="1097" t="s">
        <v>636</v>
      </c>
      <c r="Q1" s="1096" t="s">
        <v>629</v>
      </c>
      <c r="R1" s="1096" t="s">
        <v>630</v>
      </c>
      <c r="S1" s="1096" t="s">
        <v>631</v>
      </c>
      <c r="T1" s="1096" t="s">
        <v>374</v>
      </c>
      <c r="U1" s="1097" t="s">
        <v>652</v>
      </c>
      <c r="V1" s="1097" t="s">
        <v>632</v>
      </c>
      <c r="W1" s="1097" t="s">
        <v>633</v>
      </c>
      <c r="X1" s="1072" t="s">
        <v>634</v>
      </c>
      <c r="Y1" s="1072" t="s">
        <v>635</v>
      </c>
      <c r="Z1" s="1097" t="s">
        <v>639</v>
      </c>
      <c r="AA1" s="1097" t="s">
        <v>640</v>
      </c>
      <c r="AB1" s="1072" t="s">
        <v>641</v>
      </c>
      <c r="AC1" s="1072" t="s">
        <v>625</v>
      </c>
      <c r="AD1" s="1060" t="s">
        <v>92</v>
      </c>
      <c r="AE1" s="1060" t="s">
        <v>246</v>
      </c>
    </row>
    <row r="2" spans="2:33" ht="17.399999999999999" customHeight="1" x14ac:dyDescent="0.4">
      <c r="D2" s="1093"/>
      <c r="E2" s="1088"/>
      <c r="F2" s="1068"/>
      <c r="G2" s="1068"/>
      <c r="H2" s="1092"/>
      <c r="I2" s="1068"/>
      <c r="J2" s="1068"/>
      <c r="K2" s="1068"/>
      <c r="L2" s="1068"/>
      <c r="M2" s="1068"/>
      <c r="N2" s="1068"/>
      <c r="O2" s="1068"/>
      <c r="P2" s="1068"/>
      <c r="Q2" s="1068"/>
      <c r="R2" s="1068"/>
      <c r="S2" s="1068"/>
      <c r="T2" s="1068"/>
      <c r="U2" s="1068"/>
      <c r="V2" s="1068"/>
      <c r="W2" s="1068"/>
      <c r="X2" s="1068"/>
      <c r="Y2" s="1068"/>
      <c r="Z2" s="1068"/>
      <c r="AA2" s="1068"/>
      <c r="AB2" s="1068"/>
      <c r="AG2" s="1059"/>
    </row>
    <row r="3" spans="2:33" x14ac:dyDescent="0.3">
      <c r="C3" s="1404" t="s">
        <v>899</v>
      </c>
      <c r="D3" s="1094" t="s">
        <v>612</v>
      </c>
      <c r="F3" s="1099">
        <v>0</v>
      </c>
      <c r="G3" s="1099">
        <v>0</v>
      </c>
      <c r="H3" s="1099">
        <v>4.2293835679174434E-2</v>
      </c>
      <c r="I3" s="1099">
        <v>0.51501243153940179</v>
      </c>
      <c r="J3" s="1099">
        <v>0.20248122143183558</v>
      </c>
      <c r="K3" s="1099">
        <v>6.1511257128486225E-3</v>
      </c>
      <c r="L3" s="1099">
        <v>0.23406138563673973</v>
      </c>
      <c r="M3" s="1103">
        <v>0</v>
      </c>
      <c r="N3" s="1101">
        <v>0</v>
      </c>
      <c r="O3" s="1101">
        <v>0</v>
      </c>
      <c r="P3" s="1101">
        <v>0</v>
      </c>
      <c r="Q3" s="1101">
        <f>'Operating Stats'!F22/'Operating Stats'!F45</f>
        <v>0.27672468061501865</v>
      </c>
      <c r="R3" s="1101">
        <f>'Operating Stats'!F23/'Operating Stats'!F45</f>
        <v>0.17154369421947455</v>
      </c>
      <c r="S3" s="1101">
        <f>'Operating Stats'!F24/'Operating Stats'!F45</f>
        <v>0.1733654913061434</v>
      </c>
      <c r="T3" s="1101">
        <f>'Operating Stats'!F25/'Operating Stats'!F45</f>
        <v>6.1458628408813457E-2</v>
      </c>
      <c r="U3" s="1101">
        <f>'Operating Stats'!F26/'Operating Stats'!F45</f>
        <v>4.018282483553124E-2</v>
      </c>
      <c r="V3" s="1101">
        <v>0</v>
      </c>
      <c r="W3" s="1101">
        <v>0</v>
      </c>
      <c r="X3" s="1101">
        <v>0</v>
      </c>
      <c r="Y3" s="1101">
        <v>0</v>
      </c>
      <c r="Z3" s="1101">
        <v>0</v>
      </c>
      <c r="AA3" s="1101">
        <v>0</v>
      </c>
      <c r="AB3" s="1101">
        <v>0</v>
      </c>
      <c r="AC3" s="1101">
        <v>0</v>
      </c>
      <c r="AD3" s="1061">
        <f>SUM(F3:M3)</f>
        <v>1</v>
      </c>
      <c r="AE3" s="1056" t="s">
        <v>566</v>
      </c>
    </row>
    <row r="4" spans="2:33" x14ac:dyDescent="0.3">
      <c r="C4" s="1404" t="s">
        <v>899</v>
      </c>
      <c r="D4" s="1094" t="s">
        <v>613</v>
      </c>
      <c r="F4" s="1099">
        <v>0</v>
      </c>
      <c r="G4" s="1099">
        <v>0</v>
      </c>
      <c r="H4" s="1099">
        <v>0</v>
      </c>
      <c r="I4" s="1099">
        <v>0.368122</v>
      </c>
      <c r="J4" s="1099">
        <v>0.29580200000000001</v>
      </c>
      <c r="K4" s="1099">
        <v>0</v>
      </c>
      <c r="L4" s="1099">
        <v>0.33607599999999999</v>
      </c>
      <c r="M4" s="1103">
        <v>0</v>
      </c>
      <c r="N4" s="1101">
        <v>0</v>
      </c>
      <c r="O4" s="1101">
        <v>0</v>
      </c>
      <c r="P4" s="1101">
        <v>0</v>
      </c>
      <c r="Q4" s="1101"/>
      <c r="R4" s="1101"/>
      <c r="S4" s="1101"/>
      <c r="T4" s="1101"/>
      <c r="U4" s="1101"/>
      <c r="V4" s="1101"/>
      <c r="W4" s="1101"/>
      <c r="X4" s="1101"/>
      <c r="Y4" s="1101"/>
      <c r="Z4" s="1101"/>
      <c r="AA4" s="1101"/>
      <c r="AB4" s="1101"/>
      <c r="AC4" s="1101"/>
      <c r="AD4" s="1061"/>
    </row>
    <row r="5" spans="2:33" x14ac:dyDescent="0.3">
      <c r="C5" s="1404" t="s">
        <v>899</v>
      </c>
      <c r="D5" s="1094" t="s">
        <v>614</v>
      </c>
      <c r="F5" s="1099">
        <v>0</v>
      </c>
      <c r="G5" s="1099">
        <v>0</v>
      </c>
      <c r="H5" s="1099">
        <v>0</v>
      </c>
      <c r="I5" s="1099">
        <v>0.368122</v>
      </c>
      <c r="J5" s="1099">
        <v>0.29580200000000001</v>
      </c>
      <c r="K5" s="1099">
        <v>0</v>
      </c>
      <c r="L5" s="1099">
        <v>0.33607599999999999</v>
      </c>
      <c r="M5" s="1103">
        <v>0</v>
      </c>
      <c r="N5" s="1101">
        <v>0</v>
      </c>
      <c r="O5" s="1101">
        <v>0</v>
      </c>
      <c r="P5" s="1101">
        <v>0</v>
      </c>
      <c r="Q5" s="1101"/>
      <c r="R5" s="1101"/>
      <c r="S5" s="1101"/>
      <c r="T5" s="1101"/>
      <c r="U5" s="1101"/>
      <c r="V5" s="1101"/>
      <c r="W5" s="1101"/>
      <c r="X5" s="1101"/>
      <c r="Y5" s="1101"/>
      <c r="Z5" s="1101"/>
      <c r="AA5" s="1101"/>
      <c r="AB5" s="1101"/>
      <c r="AC5" s="1101"/>
      <c r="AD5" s="1061"/>
    </row>
    <row r="6" spans="2:33" x14ac:dyDescent="0.3">
      <c r="B6" s="1404" t="s">
        <v>900</v>
      </c>
      <c r="C6" s="1404" t="s">
        <v>899</v>
      </c>
      <c r="D6" s="1095" t="s">
        <v>622</v>
      </c>
      <c r="F6" s="1099">
        <v>0.3392119810002851</v>
      </c>
      <c r="G6" s="1099">
        <v>0.66078801899971484</v>
      </c>
      <c r="H6" s="1099">
        <v>0</v>
      </c>
      <c r="I6" s="1099">
        <v>0</v>
      </c>
      <c r="J6" s="1099">
        <v>0</v>
      </c>
      <c r="K6" s="1099">
        <v>0</v>
      </c>
      <c r="L6" s="1099">
        <v>0</v>
      </c>
      <c r="M6" s="1103">
        <v>0</v>
      </c>
      <c r="N6" s="1101">
        <v>0</v>
      </c>
      <c r="O6" s="1101">
        <v>0</v>
      </c>
      <c r="P6" s="1101">
        <v>0</v>
      </c>
      <c r="Q6" s="1101"/>
      <c r="R6" s="1101"/>
      <c r="S6" s="1101"/>
      <c r="T6" s="1101"/>
      <c r="U6" s="1101"/>
      <c r="V6" s="1101"/>
      <c r="W6" s="1101"/>
      <c r="X6" s="1101"/>
      <c r="Y6" s="1101"/>
      <c r="Z6" s="1101"/>
      <c r="AA6" s="1101"/>
      <c r="AB6" s="1101"/>
      <c r="AC6" s="1101"/>
      <c r="AD6" s="1061">
        <f>SUM(F6:K6)</f>
        <v>1</v>
      </c>
      <c r="AE6" s="1056" t="s">
        <v>567</v>
      </c>
    </row>
    <row r="7" spans="2:33" x14ac:dyDescent="0.3">
      <c r="B7" s="1404" t="s">
        <v>901</v>
      </c>
      <c r="C7" s="1404" t="s">
        <v>899</v>
      </c>
      <c r="D7" s="1095" t="s">
        <v>621</v>
      </c>
      <c r="F7" s="1104">
        <v>0</v>
      </c>
      <c r="G7" s="1104">
        <v>0</v>
      </c>
      <c r="H7" s="1104">
        <v>0</v>
      </c>
      <c r="I7" s="1104">
        <v>0</v>
      </c>
      <c r="J7" s="1104">
        <v>0</v>
      </c>
      <c r="K7" s="1104">
        <v>0</v>
      </c>
      <c r="L7" s="1104">
        <v>0</v>
      </c>
      <c r="M7" s="1103">
        <v>0</v>
      </c>
      <c r="N7" s="1101">
        <v>0</v>
      </c>
      <c r="O7" s="1101">
        <v>0</v>
      </c>
      <c r="P7" s="1101">
        <v>0</v>
      </c>
      <c r="Q7" s="1101"/>
      <c r="R7" s="1101"/>
      <c r="S7" s="1101"/>
      <c r="T7" s="1101"/>
      <c r="U7" s="1101"/>
      <c r="V7" s="1101"/>
      <c r="W7" s="1101"/>
      <c r="X7" s="1101"/>
      <c r="Y7" s="1101"/>
      <c r="Z7" s="1101"/>
      <c r="AA7" s="1101"/>
      <c r="AB7" s="1101"/>
      <c r="AC7" s="1101"/>
      <c r="AD7" s="1061"/>
    </row>
    <row r="8" spans="2:33" x14ac:dyDescent="0.3">
      <c r="B8" s="1404" t="s">
        <v>902</v>
      </c>
      <c r="C8" s="1404" t="s">
        <v>899</v>
      </c>
      <c r="D8" s="1054" t="s">
        <v>389</v>
      </c>
      <c r="F8" s="1103">
        <v>0</v>
      </c>
      <c r="G8" s="1103">
        <v>0</v>
      </c>
      <c r="H8" s="1103">
        <v>0</v>
      </c>
      <c r="I8" s="1103">
        <v>0</v>
      </c>
      <c r="J8" s="1103">
        <v>0</v>
      </c>
      <c r="K8" s="1103">
        <v>0</v>
      </c>
      <c r="L8" s="1103">
        <v>1</v>
      </c>
      <c r="M8" s="1103">
        <v>0</v>
      </c>
      <c r="N8" s="1101">
        <v>0</v>
      </c>
      <c r="O8" s="1101">
        <v>0</v>
      </c>
      <c r="P8" s="1101">
        <v>0</v>
      </c>
      <c r="Q8" s="1101"/>
      <c r="R8" s="1101"/>
      <c r="S8" s="1101"/>
      <c r="T8" s="1101"/>
      <c r="U8" s="1101"/>
      <c r="V8" s="1101"/>
      <c r="W8" s="1101"/>
      <c r="X8" s="1101"/>
      <c r="Y8" s="1101"/>
      <c r="Z8" s="1101"/>
      <c r="AA8" s="1101"/>
      <c r="AB8" s="1101"/>
      <c r="AC8" s="1101"/>
      <c r="AD8" s="1061">
        <f>SUM(F8:K8)</f>
        <v>0</v>
      </c>
      <c r="AE8" s="1056" t="s">
        <v>568</v>
      </c>
    </row>
    <row r="9" spans="2:33" x14ac:dyDescent="0.3">
      <c r="B9" s="1404" t="s">
        <v>902</v>
      </c>
      <c r="C9" s="1404" t="s">
        <v>899</v>
      </c>
      <c r="D9" s="1054" t="s">
        <v>615</v>
      </c>
      <c r="F9" s="1103">
        <v>0</v>
      </c>
      <c r="G9" s="1103">
        <v>0</v>
      </c>
      <c r="H9" s="1103">
        <v>0</v>
      </c>
      <c r="I9" s="1103">
        <v>0</v>
      </c>
      <c r="J9" s="1103">
        <v>0</v>
      </c>
      <c r="K9" s="1103">
        <v>0</v>
      </c>
      <c r="L9" s="1103">
        <v>1</v>
      </c>
      <c r="M9" s="1103">
        <v>0</v>
      </c>
      <c r="N9" s="1101">
        <v>0</v>
      </c>
      <c r="O9" s="1101">
        <v>0</v>
      </c>
      <c r="P9" s="1101">
        <v>0</v>
      </c>
      <c r="Q9" s="1101"/>
      <c r="R9" s="1101"/>
      <c r="S9" s="1101"/>
      <c r="T9" s="1101"/>
      <c r="U9" s="1101"/>
      <c r="V9" s="1101"/>
      <c r="W9" s="1101"/>
      <c r="X9" s="1101"/>
      <c r="Y9" s="1101"/>
      <c r="Z9" s="1101"/>
      <c r="AA9" s="1101"/>
      <c r="AB9" s="1101"/>
      <c r="AC9" s="1101"/>
      <c r="AD9" s="1061"/>
    </row>
    <row r="10" spans="2:33" x14ac:dyDescent="0.3">
      <c r="B10" s="1404" t="s">
        <v>903</v>
      </c>
      <c r="C10" s="1404" t="s">
        <v>904</v>
      </c>
      <c r="D10" s="1054" t="s">
        <v>618</v>
      </c>
      <c r="F10" s="1099">
        <v>0.11604604993756787</v>
      </c>
      <c r="G10" s="1099">
        <v>0.22604945201328039</v>
      </c>
      <c r="H10" s="1099">
        <v>3.79024230270383E-4</v>
      </c>
      <c r="I10" s="1099">
        <v>0.35421128969792537</v>
      </c>
      <c r="J10" s="1099">
        <v>0.16928367880719761</v>
      </c>
      <c r="K10" s="1099">
        <v>1.1628129524001163E-2</v>
      </c>
      <c r="L10" s="1099">
        <v>0.12240237578975716</v>
      </c>
      <c r="M10" s="1103">
        <v>0</v>
      </c>
      <c r="N10" s="1101">
        <v>0</v>
      </c>
      <c r="O10" s="1101">
        <v>0</v>
      </c>
      <c r="P10" s="1101">
        <v>0</v>
      </c>
      <c r="Q10" s="1101"/>
      <c r="R10" s="1101"/>
      <c r="S10" s="1101"/>
      <c r="T10" s="1101"/>
      <c r="U10" s="1101"/>
      <c r="V10" s="1101"/>
      <c r="W10" s="1101"/>
      <c r="X10" s="1101"/>
      <c r="Y10" s="1101"/>
      <c r="Z10" s="1101"/>
      <c r="AA10" s="1101"/>
      <c r="AB10" s="1101"/>
      <c r="AC10" s="1101"/>
      <c r="AD10" s="1061">
        <f>SUM(F10:K10)</f>
        <v>0.87759762421024279</v>
      </c>
      <c r="AE10" s="1056" t="s">
        <v>569</v>
      </c>
    </row>
    <row r="11" spans="2:33" x14ac:dyDescent="0.3">
      <c r="B11" s="1404" t="s">
        <v>903</v>
      </c>
      <c r="C11" s="1404" t="s">
        <v>904</v>
      </c>
      <c r="D11" s="1054" t="s">
        <v>620</v>
      </c>
      <c r="F11" s="1104">
        <v>0</v>
      </c>
      <c r="G11" s="1104">
        <v>0</v>
      </c>
      <c r="H11" s="1104">
        <v>0</v>
      </c>
      <c r="I11" s="1104">
        <v>0</v>
      </c>
      <c r="J11" s="1104">
        <v>0</v>
      </c>
      <c r="K11" s="1104">
        <v>0</v>
      </c>
      <c r="L11" s="1104">
        <v>0</v>
      </c>
      <c r="M11" s="1103">
        <v>0</v>
      </c>
      <c r="N11" s="1101">
        <v>0</v>
      </c>
      <c r="O11" s="1101">
        <v>0</v>
      </c>
      <c r="P11" s="1101">
        <v>0</v>
      </c>
      <c r="Q11" s="1101"/>
      <c r="R11" s="1101"/>
      <c r="S11" s="1101"/>
      <c r="T11" s="1101"/>
      <c r="U11" s="1101"/>
      <c r="V11" s="1101"/>
      <c r="W11" s="1101"/>
      <c r="X11" s="1101"/>
      <c r="Y11" s="1101"/>
      <c r="Z11" s="1101"/>
      <c r="AA11" s="1101"/>
      <c r="AB11" s="1101"/>
      <c r="AC11" s="1101"/>
      <c r="AD11" s="1061"/>
      <c r="AE11" s="1064"/>
    </row>
    <row r="12" spans="2:33" x14ac:dyDescent="0.3">
      <c r="B12" s="1404" t="s">
        <v>903</v>
      </c>
      <c r="C12" s="1404" t="s">
        <v>904</v>
      </c>
      <c r="D12" s="1054" t="s">
        <v>619</v>
      </c>
      <c r="F12" s="1099">
        <v>0.11604604993756787</v>
      </c>
      <c r="G12" s="1099">
        <v>0.22604945201328039</v>
      </c>
      <c r="H12" s="1099">
        <v>3.79024230270383E-4</v>
      </c>
      <c r="I12" s="1099">
        <v>0.35421128969792537</v>
      </c>
      <c r="J12" s="1099">
        <v>0.16928367880719761</v>
      </c>
      <c r="K12" s="1099">
        <v>1.1628129524001163E-2</v>
      </c>
      <c r="L12" s="1099">
        <v>0.12240237578975716</v>
      </c>
      <c r="M12" s="1103">
        <v>0</v>
      </c>
      <c r="N12" s="1101">
        <v>0</v>
      </c>
      <c r="O12" s="1101">
        <v>0</v>
      </c>
      <c r="P12" s="1101">
        <v>0</v>
      </c>
      <c r="Q12" s="1101"/>
      <c r="R12" s="1101"/>
      <c r="S12" s="1101"/>
      <c r="T12" s="1101"/>
      <c r="U12" s="1101"/>
      <c r="V12" s="1101"/>
      <c r="W12" s="1101"/>
      <c r="X12" s="1101"/>
      <c r="Y12" s="1101"/>
      <c r="Z12" s="1101"/>
      <c r="AA12" s="1101"/>
      <c r="AB12" s="1101"/>
      <c r="AC12" s="1101"/>
      <c r="AD12" s="1061">
        <f>SUM(F12:K12)</f>
        <v>0.87759762421024279</v>
      </c>
      <c r="AE12" s="1064" t="s">
        <v>570</v>
      </c>
    </row>
    <row r="13" spans="2:33" x14ac:dyDescent="0.3">
      <c r="B13" s="1404" t="s">
        <v>903</v>
      </c>
      <c r="C13" s="1404" t="s">
        <v>904</v>
      </c>
      <c r="D13" s="1054" t="s">
        <v>623</v>
      </c>
      <c r="F13" s="1104">
        <v>0</v>
      </c>
      <c r="G13" s="1104">
        <v>0</v>
      </c>
      <c r="H13" s="1104">
        <v>0</v>
      </c>
      <c r="I13" s="1104">
        <v>0</v>
      </c>
      <c r="J13" s="1104">
        <v>0</v>
      </c>
      <c r="K13" s="1104">
        <v>0</v>
      </c>
      <c r="L13" s="1104">
        <v>0</v>
      </c>
      <c r="M13" s="1103">
        <v>0</v>
      </c>
      <c r="N13" s="1101">
        <v>0</v>
      </c>
      <c r="O13" s="1101">
        <v>0</v>
      </c>
      <c r="P13" s="1101">
        <v>0</v>
      </c>
      <c r="Q13" s="1101"/>
      <c r="R13" s="1101"/>
      <c r="S13" s="1101"/>
      <c r="T13" s="1101"/>
      <c r="U13" s="1101"/>
      <c r="V13" s="1101"/>
      <c r="W13" s="1101"/>
      <c r="X13" s="1101"/>
      <c r="Y13" s="1101"/>
      <c r="Z13" s="1101"/>
      <c r="AA13" s="1101"/>
      <c r="AB13" s="1101"/>
      <c r="AC13" s="1101"/>
      <c r="AD13" s="1061"/>
      <c r="AE13" s="1064"/>
    </row>
    <row r="14" spans="2:33" x14ac:dyDescent="0.3">
      <c r="B14" s="1404" t="s">
        <v>903</v>
      </c>
      <c r="C14" s="1404" t="s">
        <v>904</v>
      </c>
      <c r="D14" s="1054" t="s">
        <v>624</v>
      </c>
      <c r="F14" s="1103">
        <v>0</v>
      </c>
      <c r="G14" s="1103">
        <v>0</v>
      </c>
      <c r="H14" s="1103">
        <v>0</v>
      </c>
      <c r="I14" s="1103">
        <v>0</v>
      </c>
      <c r="J14" s="1103">
        <v>0</v>
      </c>
      <c r="K14" s="1103">
        <v>0</v>
      </c>
      <c r="L14" s="1103">
        <v>0</v>
      </c>
      <c r="M14" s="1103">
        <v>0</v>
      </c>
      <c r="N14" s="1101">
        <v>0</v>
      </c>
      <c r="O14" s="1101">
        <v>0</v>
      </c>
      <c r="P14" s="1101">
        <v>0</v>
      </c>
      <c r="Q14" s="1101"/>
      <c r="R14" s="1101"/>
      <c r="S14" s="1101"/>
      <c r="T14" s="1101"/>
      <c r="U14" s="1101"/>
      <c r="V14" s="1101"/>
      <c r="W14" s="1101"/>
      <c r="X14" s="1101"/>
      <c r="Y14" s="1101"/>
      <c r="Z14" s="1101"/>
      <c r="AA14" s="1101"/>
      <c r="AB14" s="1101"/>
      <c r="AC14" s="1101"/>
      <c r="AD14" s="1061"/>
      <c r="AE14" s="1064"/>
    </row>
    <row r="15" spans="2:33" x14ac:dyDescent="0.3">
      <c r="B15" s="1404" t="s">
        <v>903</v>
      </c>
      <c r="C15" s="1404" t="s">
        <v>904</v>
      </c>
      <c r="D15" s="1054" t="s">
        <v>571</v>
      </c>
      <c r="F15" s="1103">
        <f>'Operating Stats'!F7/'Operating Stats'!F43</f>
        <v>6.307263274429295E-2</v>
      </c>
      <c r="G15" s="1103">
        <f>'Operating Stats'!F8/'Operating Stats'!F43</f>
        <v>0.123589175857285</v>
      </c>
      <c r="H15" s="1103">
        <f>'Operating Stats'!F9/'Operating Stats'!F43</f>
        <v>3.3428159026892196E-2</v>
      </c>
      <c r="I15" s="1103">
        <f>'Operating Stats'!F11/'Operating Stats'!F43</f>
        <v>0.263977914488712</v>
      </c>
      <c r="J15" s="1103">
        <f>'Operating Stats'!F13/'Operating Stats'!F43</f>
        <v>0.26099580991886101</v>
      </c>
      <c r="K15" s="1103">
        <f>'Operating Stats'!F12/'Operating Stats'!F43</f>
        <v>4.680558864333861E-3</v>
      </c>
      <c r="L15" s="1103">
        <f>'Operating Stats'!F14/'Operating Stats'!F43</f>
        <v>0.15216020403873373</v>
      </c>
      <c r="M15" s="1103">
        <v>0</v>
      </c>
      <c r="N15" s="1101">
        <v>0</v>
      </c>
      <c r="O15" s="1101">
        <v>0</v>
      </c>
      <c r="P15" s="1101">
        <v>0</v>
      </c>
      <c r="Q15" s="1101"/>
      <c r="R15" s="1101"/>
      <c r="S15" s="1101"/>
      <c r="T15" s="1101"/>
      <c r="U15" s="1101"/>
      <c r="V15" s="1101"/>
      <c r="W15" s="1101"/>
      <c r="X15" s="1101"/>
      <c r="Y15" s="1101"/>
      <c r="Z15" s="1101"/>
      <c r="AA15" s="1101"/>
      <c r="AB15" s="1101"/>
      <c r="AC15" s="1101"/>
      <c r="AD15" s="1061">
        <f>SUM(F15:K15)</f>
        <v>0.749744250900377</v>
      </c>
    </row>
    <row r="16" spans="2:33" x14ac:dyDescent="0.3">
      <c r="B16" s="1404" t="s">
        <v>905</v>
      </c>
      <c r="C16" s="1404" t="s">
        <v>906</v>
      </c>
      <c r="D16" s="1054" t="s">
        <v>572</v>
      </c>
      <c r="F16" s="1098">
        <v>0.11417091717203645</v>
      </c>
      <c r="G16" s="1098">
        <v>0.22505933646761356</v>
      </c>
      <c r="H16" s="1098">
        <v>3.0768177310708581E-2</v>
      </c>
      <c r="I16" s="1098">
        <v>0.30691429152756661</v>
      </c>
      <c r="J16" s="1098">
        <v>0.17025173537720015</v>
      </c>
      <c r="K16" s="1098">
        <v>2.1536572704106832E-2</v>
      </c>
      <c r="L16" s="1098">
        <v>0.13129896944076805</v>
      </c>
      <c r="M16" s="1103">
        <v>0</v>
      </c>
      <c r="N16" s="1101">
        <v>0</v>
      </c>
      <c r="O16" s="1101">
        <v>0</v>
      </c>
      <c r="P16" s="1101">
        <v>0</v>
      </c>
      <c r="Q16" s="1101"/>
      <c r="R16" s="1101"/>
      <c r="S16" s="1101"/>
      <c r="T16" s="1101"/>
      <c r="U16" s="1101"/>
      <c r="V16" s="1101"/>
      <c r="W16" s="1101"/>
      <c r="X16" s="1101"/>
      <c r="Y16" s="1101"/>
      <c r="Z16" s="1101"/>
      <c r="AA16" s="1101"/>
      <c r="AB16" s="1101"/>
      <c r="AC16" s="1101"/>
      <c r="AD16" s="1061">
        <f>SUM(F16:K16)</f>
        <v>0.8687010305592322</v>
      </c>
    </row>
    <row r="17" spans="2:32" x14ac:dyDescent="0.3">
      <c r="B17" s="1404" t="s">
        <v>903</v>
      </c>
      <c r="C17" s="1404" t="s">
        <v>904</v>
      </c>
      <c r="D17" s="1054" t="s">
        <v>251</v>
      </c>
      <c r="F17" s="1098">
        <v>0</v>
      </c>
      <c r="G17" s="1098">
        <v>0</v>
      </c>
      <c r="H17" s="1098">
        <v>0</v>
      </c>
      <c r="I17" s="1098">
        <v>0.5258405599999999</v>
      </c>
      <c r="J17" s="1098">
        <v>0.42491482000000008</v>
      </c>
      <c r="K17" s="1098">
        <v>4.9244620000000017E-2</v>
      </c>
      <c r="L17" s="1098">
        <v>0</v>
      </c>
      <c r="M17" s="1105">
        <v>0</v>
      </c>
      <c r="N17" s="1101">
        <v>0</v>
      </c>
      <c r="O17" s="1101">
        <v>0</v>
      </c>
      <c r="P17" s="1101">
        <v>0</v>
      </c>
      <c r="Q17" s="1101"/>
      <c r="R17" s="1101"/>
      <c r="S17" s="1101"/>
      <c r="T17" s="1101"/>
      <c r="U17" s="1101"/>
      <c r="V17" s="1101"/>
      <c r="W17" s="1101"/>
      <c r="X17" s="1101"/>
      <c r="Y17" s="1101"/>
      <c r="Z17" s="1101"/>
      <c r="AA17" s="1101"/>
      <c r="AB17" s="1101"/>
      <c r="AC17" s="1101"/>
      <c r="AD17" s="1061">
        <f>SUM(F17:M17)</f>
        <v>1</v>
      </c>
    </row>
    <row r="18" spans="2:32" x14ac:dyDescent="0.3">
      <c r="B18" s="1404" t="s">
        <v>907</v>
      </c>
      <c r="C18" s="1404" t="s">
        <v>904</v>
      </c>
      <c r="D18" s="1054" t="s">
        <v>573</v>
      </c>
      <c r="F18" s="1104">
        <v>0</v>
      </c>
      <c r="G18" s="1104">
        <v>0</v>
      </c>
      <c r="H18" s="1103">
        <v>1</v>
      </c>
      <c r="I18" s="1104">
        <v>0</v>
      </c>
      <c r="J18" s="1104">
        <v>0</v>
      </c>
      <c r="K18" s="1104">
        <v>0</v>
      </c>
      <c r="L18" s="1104">
        <v>0</v>
      </c>
      <c r="M18" s="1104">
        <v>0</v>
      </c>
      <c r="N18" s="1101">
        <v>0</v>
      </c>
      <c r="O18" s="1101">
        <v>0</v>
      </c>
      <c r="P18" s="1101">
        <v>0</v>
      </c>
      <c r="Q18" s="1101"/>
      <c r="R18" s="1101"/>
      <c r="S18" s="1101"/>
      <c r="T18" s="1101"/>
      <c r="U18" s="1101"/>
      <c r="V18" s="1101"/>
      <c r="W18" s="1101"/>
      <c r="X18" s="1101"/>
      <c r="Y18" s="1101"/>
      <c r="Z18" s="1101"/>
      <c r="AA18" s="1101"/>
      <c r="AB18" s="1101"/>
      <c r="AC18" s="1101"/>
      <c r="AD18" s="1061">
        <f>SUM(F18:M18)</f>
        <v>1</v>
      </c>
    </row>
    <row r="19" spans="2:32" x14ac:dyDescent="0.3">
      <c r="B19" s="1404" t="s">
        <v>909</v>
      </c>
      <c r="C19" s="1404" t="s">
        <v>904</v>
      </c>
      <c r="D19" s="1054" t="s">
        <v>574</v>
      </c>
      <c r="F19" s="1102">
        <v>0</v>
      </c>
      <c r="G19" s="1102">
        <v>0</v>
      </c>
      <c r="H19" s="1102">
        <v>0</v>
      </c>
      <c r="I19" s="1102">
        <v>0</v>
      </c>
      <c r="J19" s="1102">
        <v>0</v>
      </c>
      <c r="K19" s="1101">
        <v>1</v>
      </c>
      <c r="L19" s="1102">
        <v>0</v>
      </c>
      <c r="M19" s="1102">
        <v>0</v>
      </c>
      <c r="N19" s="1101">
        <v>0</v>
      </c>
      <c r="O19" s="1101">
        <v>0</v>
      </c>
      <c r="P19" s="1101">
        <v>0</v>
      </c>
      <c r="Q19" s="1101"/>
      <c r="R19" s="1101"/>
      <c r="S19" s="1101"/>
      <c r="T19" s="1101"/>
      <c r="U19" s="1101"/>
      <c r="V19" s="1101"/>
      <c r="W19" s="1101"/>
      <c r="X19" s="1101"/>
      <c r="Y19" s="1101"/>
      <c r="Z19" s="1101"/>
      <c r="AA19" s="1101"/>
      <c r="AB19" s="1101"/>
      <c r="AC19" s="1101"/>
      <c r="AD19" s="1061">
        <f>SUM(F19:M19)</f>
        <v>1</v>
      </c>
    </row>
    <row r="20" spans="2:32" x14ac:dyDescent="0.3">
      <c r="C20" s="1404" t="s">
        <v>904</v>
      </c>
      <c r="D20" s="1054" t="s">
        <v>449</v>
      </c>
      <c r="F20" s="1103">
        <f>F15</f>
        <v>6.307263274429295E-2</v>
      </c>
      <c r="G20" s="1103">
        <f t="shared" ref="G20:L20" si="0">G15</f>
        <v>0.123589175857285</v>
      </c>
      <c r="H20" s="1103">
        <f t="shared" si="0"/>
        <v>3.3428159026892196E-2</v>
      </c>
      <c r="I20" s="1103">
        <f t="shared" si="0"/>
        <v>0.263977914488712</v>
      </c>
      <c r="J20" s="1103">
        <f t="shared" si="0"/>
        <v>0.26099580991886101</v>
      </c>
      <c r="K20" s="1103">
        <f t="shared" si="0"/>
        <v>4.680558864333861E-3</v>
      </c>
      <c r="L20" s="1103">
        <f t="shared" si="0"/>
        <v>0.15216020403873373</v>
      </c>
      <c r="M20" s="1101">
        <v>0</v>
      </c>
      <c r="N20" s="1101">
        <v>0</v>
      </c>
      <c r="O20" s="1101">
        <v>0</v>
      </c>
      <c r="P20" s="1101">
        <v>0</v>
      </c>
      <c r="Q20" s="1101"/>
      <c r="R20" s="1101"/>
      <c r="S20" s="1101"/>
      <c r="T20" s="1101"/>
      <c r="U20" s="1101"/>
      <c r="V20" s="1101"/>
      <c r="W20" s="1101"/>
      <c r="X20" s="1101"/>
      <c r="Y20" s="1101"/>
      <c r="Z20" s="1101"/>
      <c r="AA20" s="1101"/>
      <c r="AB20" s="1101"/>
      <c r="AC20" s="1101"/>
      <c r="AD20" s="1061">
        <f>SUM(F20:K20)</f>
        <v>0.749744250900377</v>
      </c>
    </row>
    <row r="21" spans="2:32" x14ac:dyDescent="0.3">
      <c r="C21" s="1404" t="s">
        <v>904</v>
      </c>
      <c r="D21" s="1054" t="s">
        <v>575</v>
      </c>
      <c r="F21" s="1102">
        <v>0</v>
      </c>
      <c r="G21" s="1102">
        <v>0</v>
      </c>
      <c r="H21" s="1102">
        <v>0</v>
      </c>
      <c r="I21" s="1102">
        <v>0</v>
      </c>
      <c r="J21" s="1102">
        <v>0</v>
      </c>
      <c r="K21" s="1102">
        <v>0</v>
      </c>
      <c r="L21" s="1102">
        <v>0</v>
      </c>
      <c r="M21" s="1101">
        <v>1</v>
      </c>
      <c r="N21" s="1101"/>
      <c r="O21" s="1101"/>
      <c r="P21" s="1101"/>
      <c r="Q21" s="1101"/>
      <c r="R21" s="1101"/>
      <c r="S21" s="1101"/>
      <c r="T21" s="1101"/>
      <c r="U21" s="1101"/>
      <c r="V21" s="1101"/>
      <c r="W21" s="1101"/>
      <c r="X21" s="1101"/>
      <c r="Y21" s="1101"/>
      <c r="Z21" s="1101"/>
      <c r="AA21" s="1101"/>
      <c r="AB21" s="1101"/>
      <c r="AC21" s="1101"/>
      <c r="AD21" s="1061">
        <f>SUM(F21:K21)</f>
        <v>0</v>
      </c>
      <c r="AF21" s="1056" t="s">
        <v>576</v>
      </c>
    </row>
    <row r="22" spans="2:32" x14ac:dyDescent="0.3">
      <c r="C22" s="1404" t="s">
        <v>908</v>
      </c>
      <c r="D22" s="1054" t="s">
        <v>577</v>
      </c>
      <c r="F22" s="1102">
        <v>0</v>
      </c>
      <c r="G22" s="1102">
        <v>0</v>
      </c>
      <c r="H22" s="1102">
        <v>0</v>
      </c>
      <c r="I22" s="1102">
        <v>0</v>
      </c>
      <c r="J22" s="1102">
        <v>0</v>
      </c>
      <c r="K22" s="1102">
        <v>0</v>
      </c>
      <c r="L22" s="1102">
        <v>0</v>
      </c>
      <c r="M22" s="1101">
        <v>1</v>
      </c>
      <c r="N22" s="1101"/>
      <c r="O22" s="1101"/>
      <c r="P22" s="1101"/>
      <c r="Q22" s="1101"/>
      <c r="R22" s="1101"/>
      <c r="S22" s="1101"/>
      <c r="T22" s="1101"/>
      <c r="U22" s="1101"/>
      <c r="V22" s="1101"/>
      <c r="W22" s="1101"/>
      <c r="X22" s="1101"/>
      <c r="Y22" s="1101"/>
      <c r="Z22" s="1101"/>
      <c r="AA22" s="1101"/>
      <c r="AB22" s="1101"/>
      <c r="AC22" s="1101"/>
      <c r="AD22" s="1061">
        <f>SUM(F22:K22)</f>
        <v>0</v>
      </c>
    </row>
    <row r="23" spans="2:32" x14ac:dyDescent="0.3">
      <c r="B23" s="1404" t="s">
        <v>910</v>
      </c>
      <c r="C23" s="1404" t="s">
        <v>904</v>
      </c>
      <c r="D23" s="1054" t="s">
        <v>578</v>
      </c>
      <c r="F23" s="1102">
        <v>0</v>
      </c>
      <c r="G23" s="1102">
        <v>0</v>
      </c>
      <c r="H23" s="1102">
        <v>0</v>
      </c>
      <c r="I23" s="1102">
        <v>0</v>
      </c>
      <c r="J23" s="1102">
        <v>0</v>
      </c>
      <c r="K23" s="1102">
        <v>0</v>
      </c>
      <c r="L23" s="1102">
        <v>0</v>
      </c>
      <c r="M23" s="1101">
        <v>1</v>
      </c>
      <c r="N23" s="1101"/>
      <c r="O23" s="1101"/>
      <c r="P23" s="1101"/>
      <c r="Q23" s="1101"/>
      <c r="R23" s="1101"/>
      <c r="S23" s="1101"/>
      <c r="T23" s="1101"/>
      <c r="U23" s="1101"/>
      <c r="V23" s="1101"/>
      <c r="W23" s="1101"/>
      <c r="X23" s="1101"/>
      <c r="Y23" s="1101"/>
      <c r="Z23" s="1101"/>
      <c r="AA23" s="1101"/>
      <c r="AB23" s="1101"/>
      <c r="AC23" s="1101"/>
      <c r="AD23" s="1061">
        <f>SUM(F23:K23)</f>
        <v>0</v>
      </c>
    </row>
    <row r="24" spans="2:32" x14ac:dyDescent="0.3">
      <c r="B24" s="1404" t="s">
        <v>910</v>
      </c>
      <c r="C24" s="1404" t="s">
        <v>904</v>
      </c>
      <c r="D24" s="1054" t="s">
        <v>579</v>
      </c>
      <c r="F24" s="1102">
        <v>0</v>
      </c>
      <c r="G24" s="1102">
        <v>0</v>
      </c>
      <c r="H24" s="1102">
        <v>0</v>
      </c>
      <c r="I24" s="1102">
        <v>0</v>
      </c>
      <c r="J24" s="1102">
        <v>0</v>
      </c>
      <c r="K24" s="1102">
        <v>0</v>
      </c>
      <c r="L24" s="1102">
        <v>0</v>
      </c>
      <c r="M24" s="1101">
        <v>1</v>
      </c>
      <c r="N24" s="1101"/>
      <c r="O24" s="1101"/>
      <c r="P24" s="1101"/>
      <c r="Q24" s="1101"/>
      <c r="R24" s="1101"/>
      <c r="S24" s="1101"/>
      <c r="T24" s="1101"/>
      <c r="U24" s="1101"/>
      <c r="V24" s="1101"/>
      <c r="W24" s="1101"/>
      <c r="X24" s="1101"/>
      <c r="Y24" s="1101"/>
      <c r="Z24" s="1101"/>
      <c r="AA24" s="1101"/>
      <c r="AB24" s="1101"/>
      <c r="AC24" s="1101"/>
      <c r="AD24" s="1061">
        <f>SUM(F24:K24)</f>
        <v>0</v>
      </c>
    </row>
    <row r="25" spans="2:32" x14ac:dyDescent="0.3">
      <c r="B25" s="1404" t="s">
        <v>911</v>
      </c>
      <c r="C25" s="1404" t="s">
        <v>904</v>
      </c>
      <c r="D25" s="1054" t="s">
        <v>252</v>
      </c>
      <c r="F25" s="1101"/>
      <c r="G25" s="1101"/>
      <c r="H25" s="1101"/>
      <c r="I25" s="1101"/>
      <c r="J25" s="1101"/>
      <c r="K25" s="1101"/>
      <c r="L25" s="1101"/>
      <c r="M25" s="1101"/>
      <c r="N25" s="1101"/>
      <c r="O25" s="1101"/>
      <c r="P25" s="1101"/>
      <c r="Q25" s="1101">
        <f>1-AB25</f>
        <v>0.95799999999999996</v>
      </c>
      <c r="R25" s="1101"/>
      <c r="S25" s="1101"/>
      <c r="T25" s="1101"/>
      <c r="U25" s="1101"/>
      <c r="V25" s="1101"/>
      <c r="W25" s="1101"/>
      <c r="X25" s="1101"/>
      <c r="Y25" s="1101"/>
      <c r="Z25" s="1101"/>
      <c r="AA25" s="1101"/>
      <c r="AB25" s="1101">
        <v>4.2000000000000003E-2</v>
      </c>
      <c r="AC25" s="1101"/>
      <c r="AD25" s="1061"/>
    </row>
    <row r="26" spans="2:32" x14ac:dyDescent="0.3">
      <c r="B26" s="1404" t="s">
        <v>912</v>
      </c>
      <c r="C26" s="1404" t="s">
        <v>904</v>
      </c>
      <c r="D26" s="1054" t="s">
        <v>626</v>
      </c>
      <c r="F26" s="1101"/>
      <c r="G26" s="1101"/>
      <c r="H26" s="1101"/>
      <c r="I26" s="1101"/>
      <c r="J26" s="1101"/>
      <c r="K26" s="1101"/>
      <c r="L26" s="1101"/>
      <c r="M26" s="1101"/>
      <c r="N26" s="1101"/>
      <c r="O26" s="1101"/>
      <c r="P26" s="1101"/>
      <c r="Q26" s="1101"/>
      <c r="R26" s="1101"/>
      <c r="S26" s="1101"/>
      <c r="T26" s="1101"/>
      <c r="U26" s="1101"/>
      <c r="V26" s="1101"/>
      <c r="W26" s="1101"/>
      <c r="X26" s="1101"/>
      <c r="Y26" s="1101"/>
      <c r="Z26" s="1101"/>
      <c r="AA26" s="1101"/>
      <c r="AB26" s="1101">
        <v>1</v>
      </c>
      <c r="AC26" s="1101"/>
      <c r="AD26" s="1061"/>
    </row>
    <row r="27" spans="2:32" x14ac:dyDescent="0.3">
      <c r="C27" s="1404" t="s">
        <v>904</v>
      </c>
      <c r="D27" s="1054" t="s">
        <v>627</v>
      </c>
      <c r="F27" s="1101"/>
      <c r="G27" s="1101"/>
      <c r="H27" s="1101"/>
      <c r="I27" s="1101"/>
      <c r="J27" s="1101"/>
      <c r="K27" s="1101"/>
      <c r="L27" s="1101"/>
      <c r="M27" s="1101"/>
      <c r="N27" s="1101"/>
      <c r="O27" s="1101"/>
      <c r="P27" s="1101"/>
      <c r="Q27" s="1101"/>
      <c r="R27" s="1101"/>
      <c r="S27" s="1101"/>
      <c r="T27" s="1101"/>
      <c r="U27" s="1101"/>
      <c r="V27" s="1101"/>
      <c r="W27" s="1101"/>
      <c r="X27" s="1101"/>
      <c r="Y27" s="1101"/>
      <c r="Z27" s="1101"/>
      <c r="AA27" s="1101"/>
      <c r="AB27" s="1101">
        <v>1</v>
      </c>
      <c r="AC27" s="1101"/>
      <c r="AD27" s="1061"/>
    </row>
    <row r="28" spans="2:32" x14ac:dyDescent="0.3">
      <c r="B28" s="1404" t="s">
        <v>915</v>
      </c>
      <c r="C28" s="1404" t="s">
        <v>904</v>
      </c>
      <c r="D28" s="1054" t="s">
        <v>253</v>
      </c>
      <c r="F28" s="1101"/>
      <c r="G28" s="1101"/>
      <c r="H28" s="1101"/>
      <c r="I28" s="1101"/>
      <c r="J28" s="1101"/>
      <c r="K28" s="1101"/>
      <c r="L28" s="1101"/>
      <c r="M28" s="1101"/>
      <c r="N28" s="1101"/>
      <c r="O28" s="1101"/>
      <c r="P28" s="1101"/>
      <c r="Q28" s="1101"/>
      <c r="R28" s="1101"/>
      <c r="S28" s="1101"/>
      <c r="T28" s="1101"/>
      <c r="U28" s="1101"/>
      <c r="V28" s="1101"/>
      <c r="W28" s="1101"/>
      <c r="X28" s="1101"/>
      <c r="Y28" s="1101"/>
      <c r="Z28" s="1101"/>
      <c r="AA28" s="1101"/>
      <c r="AB28" s="1101"/>
      <c r="AC28" s="1101"/>
      <c r="AD28" s="1061"/>
    </row>
    <row r="29" spans="2:32" x14ac:dyDescent="0.3">
      <c r="C29" s="1404" t="s">
        <v>904</v>
      </c>
      <c r="D29" s="1054" t="s">
        <v>254</v>
      </c>
      <c r="F29" s="1101"/>
      <c r="G29" s="1101"/>
      <c r="H29" s="1101"/>
      <c r="I29" s="1101"/>
      <c r="J29" s="1101"/>
      <c r="K29" s="1101"/>
      <c r="L29" s="1101"/>
      <c r="M29" s="1101"/>
      <c r="N29" s="1101"/>
      <c r="O29" s="1101"/>
      <c r="P29" s="1101"/>
      <c r="Q29" s="1101"/>
      <c r="R29" s="1101"/>
      <c r="S29" s="1101"/>
      <c r="T29" s="1101"/>
      <c r="U29" s="1101"/>
      <c r="V29" s="1101"/>
      <c r="W29" s="1101"/>
      <c r="X29" s="1101"/>
      <c r="Y29" s="1101"/>
      <c r="Z29" s="1101"/>
      <c r="AA29" s="1101"/>
      <c r="AB29" s="1101"/>
      <c r="AC29" s="1101"/>
      <c r="AD29" s="1061"/>
    </row>
    <row r="30" spans="2:32" x14ac:dyDescent="0.3">
      <c r="C30" s="1404" t="s">
        <v>904</v>
      </c>
      <c r="D30" s="1054" t="s">
        <v>628</v>
      </c>
      <c r="F30" s="1101"/>
      <c r="G30" s="1101"/>
      <c r="H30" s="1101"/>
      <c r="I30" s="1101"/>
      <c r="J30" s="1101"/>
      <c r="K30" s="1101"/>
      <c r="L30" s="1101"/>
      <c r="M30" s="1101"/>
      <c r="N30" s="1101"/>
      <c r="O30" s="1101"/>
      <c r="P30" s="1101"/>
      <c r="Q30" s="1101"/>
      <c r="R30" s="1101"/>
      <c r="S30" s="1101"/>
      <c r="T30" s="1101"/>
      <c r="U30" s="1101"/>
      <c r="V30" s="1101"/>
      <c r="W30" s="1101"/>
      <c r="X30" s="1101"/>
      <c r="Y30" s="1101"/>
      <c r="Z30" s="1101"/>
      <c r="AA30" s="1101"/>
      <c r="AB30" s="1101">
        <v>1</v>
      </c>
      <c r="AC30" s="1101"/>
      <c r="AD30" s="1061"/>
    </row>
    <row r="31" spans="2:32" x14ac:dyDescent="0.3">
      <c r="C31" s="1404" t="s">
        <v>904</v>
      </c>
      <c r="D31" s="1054" t="s">
        <v>255</v>
      </c>
      <c r="F31" s="1101"/>
      <c r="G31" s="1101"/>
      <c r="H31" s="1101"/>
      <c r="I31" s="1101"/>
      <c r="J31" s="1101"/>
      <c r="K31" s="1101"/>
      <c r="L31" s="1101"/>
      <c r="M31" s="1101"/>
      <c r="N31" s="1101"/>
      <c r="O31" s="1101"/>
      <c r="P31" s="1101"/>
      <c r="Q31" s="1101"/>
      <c r="R31" s="1101"/>
      <c r="S31" s="1101"/>
      <c r="T31" s="1101"/>
      <c r="U31" s="1101"/>
      <c r="V31" s="1101"/>
      <c r="W31" s="1101"/>
      <c r="X31" s="1101"/>
      <c r="Y31" s="1101"/>
      <c r="Z31" s="1101"/>
      <c r="AA31" s="1101"/>
      <c r="AB31" s="1101"/>
      <c r="AC31" s="1101"/>
      <c r="AD31" s="1061"/>
    </row>
    <row r="32" spans="2:32" x14ac:dyDescent="0.3">
      <c r="C32" s="1404" t="s">
        <v>904</v>
      </c>
      <c r="D32" s="1054" t="s">
        <v>256</v>
      </c>
      <c r="F32" s="1101"/>
      <c r="G32" s="1101"/>
      <c r="H32" s="1101"/>
      <c r="I32" s="1101"/>
      <c r="J32" s="1101"/>
      <c r="K32" s="1101"/>
      <c r="L32" s="1101"/>
      <c r="M32" s="1101"/>
      <c r="N32" s="1101"/>
      <c r="O32" s="1101"/>
      <c r="P32" s="1101"/>
      <c r="Q32" s="1101"/>
      <c r="R32" s="1101"/>
      <c r="S32" s="1101"/>
      <c r="T32" s="1101"/>
      <c r="U32" s="1101"/>
      <c r="V32" s="1101"/>
      <c r="W32" s="1101"/>
      <c r="X32" s="1101"/>
      <c r="Y32" s="1101"/>
      <c r="Z32" s="1101"/>
      <c r="AA32" s="1101"/>
      <c r="AB32" s="1101"/>
      <c r="AC32" s="1101"/>
      <c r="AD32" s="1061"/>
    </row>
    <row r="33" spans="2:32" x14ac:dyDescent="0.3">
      <c r="C33" s="1404" t="s">
        <v>904</v>
      </c>
      <c r="D33" s="1054" t="s">
        <v>257</v>
      </c>
      <c r="F33" s="1101"/>
      <c r="G33" s="1101"/>
      <c r="H33" s="1101"/>
      <c r="I33" s="1101"/>
      <c r="J33" s="1101"/>
      <c r="K33" s="1101"/>
      <c r="L33" s="1101"/>
      <c r="M33" s="1101"/>
      <c r="N33" s="1101"/>
      <c r="O33" s="1101"/>
      <c r="P33" s="1101"/>
      <c r="Q33" s="1101"/>
      <c r="R33" s="1101"/>
      <c r="S33" s="1101"/>
      <c r="T33" s="1101"/>
      <c r="U33" s="1101"/>
      <c r="V33" s="1101"/>
      <c r="W33" s="1101"/>
      <c r="X33" s="1101"/>
      <c r="Y33" s="1101"/>
      <c r="Z33" s="1101"/>
      <c r="AA33" s="1101"/>
      <c r="AB33" s="1101"/>
      <c r="AC33" s="1101"/>
      <c r="AD33" s="1061"/>
    </row>
    <row r="34" spans="2:32" x14ac:dyDescent="0.3">
      <c r="B34" s="1404" t="s">
        <v>913</v>
      </c>
      <c r="C34" s="1404" t="s">
        <v>904</v>
      </c>
      <c r="D34" s="1067" t="s">
        <v>166</v>
      </c>
      <c r="F34" s="1101"/>
      <c r="G34" s="1101"/>
      <c r="H34" s="1101"/>
      <c r="I34" s="1101"/>
      <c r="J34" s="1101"/>
      <c r="K34" s="1101"/>
      <c r="L34" s="1101"/>
      <c r="M34" s="1101"/>
      <c r="N34" s="1101">
        <v>0.5</v>
      </c>
      <c r="O34" s="1101">
        <v>0.25</v>
      </c>
      <c r="P34" s="1101">
        <v>0.25</v>
      </c>
      <c r="Q34" s="1101"/>
      <c r="R34" s="1101"/>
      <c r="S34" s="1101"/>
      <c r="T34" s="1101"/>
      <c r="U34" s="1101"/>
      <c r="V34" s="1101"/>
      <c r="W34" s="1101"/>
      <c r="X34" s="1101"/>
      <c r="Y34" s="1101"/>
      <c r="Z34" s="1101"/>
      <c r="AA34" s="1101"/>
      <c r="AB34" s="1101"/>
      <c r="AC34" s="1101"/>
    </row>
    <row r="35" spans="2:32" x14ac:dyDescent="0.3">
      <c r="B35" s="1404" t="s">
        <v>914</v>
      </c>
      <c r="C35" s="1404" t="s">
        <v>904</v>
      </c>
      <c r="D35" s="1067" t="s">
        <v>115</v>
      </c>
      <c r="E35" s="1061"/>
      <c r="F35" s="1101"/>
      <c r="G35" s="1101"/>
      <c r="H35" s="1101"/>
      <c r="I35" s="1101"/>
      <c r="J35" s="1101"/>
      <c r="K35" s="1101"/>
      <c r="L35" s="1101"/>
      <c r="M35" s="1101"/>
      <c r="N35" s="1101">
        <v>0.5</v>
      </c>
      <c r="O35" s="1101">
        <v>0.25</v>
      </c>
      <c r="P35" s="1101">
        <v>0.25</v>
      </c>
      <c r="Q35" s="1101"/>
      <c r="R35" s="1101"/>
      <c r="S35" s="1101"/>
      <c r="T35" s="1101"/>
      <c r="U35" s="1101"/>
      <c r="V35" s="1101"/>
      <c r="W35" s="1101"/>
      <c r="X35" s="1101"/>
      <c r="Y35" s="1101"/>
      <c r="Z35" s="1101"/>
      <c r="AA35" s="1101"/>
      <c r="AB35" s="1101"/>
      <c r="AC35" s="1101"/>
      <c r="AD35" s="1061"/>
    </row>
    <row r="36" spans="2:32" x14ac:dyDescent="0.3">
      <c r="C36" s="1404" t="s">
        <v>904</v>
      </c>
      <c r="D36" s="1067" t="s">
        <v>258</v>
      </c>
      <c r="F36" s="1101"/>
      <c r="G36" s="1101"/>
      <c r="H36" s="1101"/>
      <c r="I36" s="1101"/>
      <c r="J36" s="1101"/>
      <c r="K36" s="1101"/>
      <c r="L36" s="1101"/>
      <c r="M36" s="1101"/>
      <c r="N36" s="1101">
        <v>0.5</v>
      </c>
      <c r="O36" s="1101">
        <v>0.25</v>
      </c>
      <c r="P36" s="1101">
        <v>0.25</v>
      </c>
      <c r="Q36" s="1101"/>
      <c r="R36" s="1101"/>
      <c r="S36" s="1101"/>
      <c r="T36" s="1101"/>
      <c r="U36" s="1101"/>
      <c r="V36" s="1101"/>
      <c r="W36" s="1101"/>
      <c r="X36" s="1101"/>
      <c r="Y36" s="1101"/>
      <c r="Z36" s="1101"/>
      <c r="AA36" s="1101"/>
      <c r="AB36" s="1101"/>
      <c r="AC36" s="1101"/>
    </row>
    <row r="37" spans="2:32" x14ac:dyDescent="0.3">
      <c r="C37" s="1404" t="s">
        <v>904</v>
      </c>
      <c r="D37" s="1067" t="s">
        <v>259</v>
      </c>
      <c r="F37" s="1101"/>
      <c r="G37" s="1101"/>
      <c r="H37" s="1101"/>
      <c r="I37" s="1101"/>
      <c r="J37" s="1101"/>
      <c r="K37" s="1101"/>
      <c r="L37" s="1101"/>
      <c r="M37" s="1101"/>
      <c r="N37" s="1101">
        <v>0.5</v>
      </c>
      <c r="O37" s="1101">
        <v>0.25</v>
      </c>
      <c r="P37" s="1101">
        <v>0.25</v>
      </c>
      <c r="Q37" s="1101"/>
      <c r="R37" s="1101"/>
      <c r="S37" s="1101"/>
      <c r="T37" s="1101"/>
      <c r="U37" s="1101"/>
      <c r="V37" s="1101"/>
      <c r="W37" s="1101"/>
      <c r="X37" s="1101"/>
      <c r="Y37" s="1101"/>
      <c r="Z37" s="1101"/>
      <c r="AA37" s="1101"/>
      <c r="AB37" s="1101"/>
      <c r="AC37" s="1101"/>
      <c r="AD37" s="1061">
        <f>SUM(F37:L37)</f>
        <v>0</v>
      </c>
      <c r="AE37" s="1056" t="s">
        <v>566</v>
      </c>
    </row>
    <row r="38" spans="2:32" x14ac:dyDescent="0.3">
      <c r="C38" s="1404" t="s">
        <v>904</v>
      </c>
      <c r="D38" s="1067" t="s">
        <v>165</v>
      </c>
      <c r="F38" s="1101"/>
      <c r="G38" s="1101"/>
      <c r="H38" s="1101"/>
      <c r="I38" s="1101"/>
      <c r="J38" s="1101"/>
      <c r="K38" s="1101"/>
      <c r="L38" s="1101"/>
      <c r="M38" s="1101"/>
      <c r="N38" s="1101">
        <v>0.5</v>
      </c>
      <c r="O38" s="1101">
        <v>0.25</v>
      </c>
      <c r="P38" s="1101">
        <v>0.25</v>
      </c>
      <c r="Q38" s="1101"/>
      <c r="R38" s="1101"/>
      <c r="S38" s="1101"/>
      <c r="T38" s="1101"/>
      <c r="U38" s="1101"/>
      <c r="V38" s="1101"/>
      <c r="W38" s="1101"/>
      <c r="X38" s="1101"/>
      <c r="Y38" s="1101"/>
      <c r="Z38" s="1101"/>
      <c r="AA38" s="1101"/>
      <c r="AB38" s="1101"/>
      <c r="AC38" s="1101"/>
      <c r="AD38" s="1061">
        <f t="shared" ref="AD38:AD51" si="1">SUM(F38:K38)</f>
        <v>0</v>
      </c>
      <c r="AE38" s="1056" t="s">
        <v>567</v>
      </c>
    </row>
    <row r="39" spans="2:32" x14ac:dyDescent="0.3">
      <c r="C39" s="1404" t="s">
        <v>904</v>
      </c>
      <c r="D39" s="1067" t="s">
        <v>260</v>
      </c>
      <c r="F39" s="1101"/>
      <c r="G39" s="1101"/>
      <c r="H39" s="1101"/>
      <c r="I39" s="1101"/>
      <c r="J39" s="1101"/>
      <c r="K39" s="1101"/>
      <c r="L39" s="1101"/>
      <c r="M39" s="1101"/>
      <c r="N39" s="1101">
        <v>0.5</v>
      </c>
      <c r="O39" s="1101">
        <v>0.25</v>
      </c>
      <c r="P39" s="1101">
        <v>0.25</v>
      </c>
      <c r="Q39" s="1101"/>
      <c r="R39" s="1101"/>
      <c r="S39" s="1101"/>
      <c r="T39" s="1101"/>
      <c r="U39" s="1101"/>
      <c r="V39" s="1101"/>
      <c r="W39" s="1101"/>
      <c r="X39" s="1101"/>
      <c r="Y39" s="1101"/>
      <c r="Z39" s="1101"/>
      <c r="AA39" s="1101"/>
      <c r="AB39" s="1101"/>
      <c r="AC39" s="1101"/>
      <c r="AD39" s="1061">
        <f t="shared" si="1"/>
        <v>0</v>
      </c>
      <c r="AE39" s="1056" t="s">
        <v>568</v>
      </c>
    </row>
    <row r="40" spans="2:32" x14ac:dyDescent="0.3">
      <c r="C40" s="1404" t="s">
        <v>904</v>
      </c>
      <c r="D40" s="1067" t="s">
        <v>261</v>
      </c>
      <c r="F40" s="1101"/>
      <c r="G40" s="1101"/>
      <c r="H40" s="1101"/>
      <c r="I40" s="1101"/>
      <c r="J40" s="1101"/>
      <c r="K40" s="1101"/>
      <c r="L40" s="1101"/>
      <c r="M40" s="1101"/>
      <c r="N40" s="1101">
        <v>0.5</v>
      </c>
      <c r="O40" s="1101">
        <v>0.25</v>
      </c>
      <c r="P40" s="1101">
        <v>0.25</v>
      </c>
      <c r="Q40" s="1101"/>
      <c r="R40" s="1101"/>
      <c r="S40" s="1101"/>
      <c r="T40" s="1101"/>
      <c r="U40" s="1101"/>
      <c r="V40" s="1101"/>
      <c r="W40" s="1101"/>
      <c r="X40" s="1101"/>
      <c r="Y40" s="1101"/>
      <c r="Z40" s="1101"/>
      <c r="AA40" s="1101"/>
      <c r="AB40" s="1101"/>
      <c r="AC40" s="1101"/>
      <c r="AD40" s="1061">
        <f t="shared" si="1"/>
        <v>0</v>
      </c>
      <c r="AE40" s="1056" t="s">
        <v>569</v>
      </c>
    </row>
    <row r="41" spans="2:32" x14ac:dyDescent="0.3">
      <c r="C41" s="1404" t="s">
        <v>904</v>
      </c>
      <c r="D41" s="1067" t="s">
        <v>262</v>
      </c>
      <c r="F41" s="1101"/>
      <c r="G41" s="1101"/>
      <c r="H41" s="1101"/>
      <c r="I41" s="1101"/>
      <c r="J41" s="1101"/>
      <c r="K41" s="1101"/>
      <c r="L41" s="1101"/>
      <c r="M41" s="1101"/>
      <c r="N41" s="1101">
        <v>0.5</v>
      </c>
      <c r="O41" s="1101">
        <v>0.25</v>
      </c>
      <c r="P41" s="1101">
        <v>0.25</v>
      </c>
      <c r="Q41" s="1101"/>
      <c r="R41" s="1101"/>
      <c r="S41" s="1101"/>
      <c r="T41" s="1101"/>
      <c r="U41" s="1101"/>
      <c r="V41" s="1101"/>
      <c r="W41" s="1101"/>
      <c r="X41" s="1101"/>
      <c r="Y41" s="1101"/>
      <c r="Z41" s="1101"/>
      <c r="AA41" s="1101"/>
      <c r="AB41" s="1101"/>
      <c r="AC41" s="1101"/>
      <c r="AD41" s="1061">
        <f t="shared" si="1"/>
        <v>0</v>
      </c>
      <c r="AE41" s="1064" t="s">
        <v>570</v>
      </c>
    </row>
    <row r="42" spans="2:32" x14ac:dyDescent="0.3">
      <c r="C42" s="1404" t="s">
        <v>904</v>
      </c>
      <c r="D42" s="1067" t="s">
        <v>557</v>
      </c>
      <c r="F42" s="1101"/>
      <c r="G42" s="1101"/>
      <c r="H42" s="1101"/>
      <c r="I42" s="1101"/>
      <c r="J42" s="1101"/>
      <c r="K42" s="1101"/>
      <c r="L42" s="1101"/>
      <c r="M42" s="1101"/>
      <c r="N42" s="1101">
        <v>0.5</v>
      </c>
      <c r="O42" s="1101">
        <v>0.25</v>
      </c>
      <c r="P42" s="1101">
        <v>0.25</v>
      </c>
      <c r="Q42" s="1101"/>
      <c r="R42" s="1101"/>
      <c r="S42" s="1101"/>
      <c r="T42" s="1101"/>
      <c r="U42" s="1101"/>
      <c r="V42" s="1101"/>
      <c r="W42" s="1101"/>
      <c r="X42" s="1101"/>
      <c r="Y42" s="1101"/>
      <c r="Z42" s="1101"/>
      <c r="AA42" s="1101"/>
      <c r="AB42" s="1101"/>
      <c r="AC42" s="1101"/>
      <c r="AD42" s="1061">
        <f t="shared" si="1"/>
        <v>0</v>
      </c>
    </row>
    <row r="43" spans="2:32" x14ac:dyDescent="0.3">
      <c r="C43" s="1404" t="s">
        <v>904</v>
      </c>
      <c r="D43" s="1067" t="s">
        <v>263</v>
      </c>
      <c r="F43" s="1101"/>
      <c r="G43" s="1101"/>
      <c r="H43" s="1101"/>
      <c r="I43" s="1101"/>
      <c r="J43" s="1101"/>
      <c r="K43" s="1101"/>
      <c r="L43" s="1101"/>
      <c r="M43" s="1101"/>
      <c r="N43" s="1101">
        <v>0.5</v>
      </c>
      <c r="O43" s="1101">
        <v>0.25</v>
      </c>
      <c r="P43" s="1101">
        <v>0.25</v>
      </c>
      <c r="Q43" s="1101"/>
      <c r="R43" s="1101"/>
      <c r="S43" s="1101"/>
      <c r="T43" s="1101"/>
      <c r="U43" s="1101"/>
      <c r="V43" s="1101"/>
      <c r="W43" s="1101"/>
      <c r="X43" s="1101"/>
      <c r="Y43" s="1101"/>
      <c r="Z43" s="1101"/>
      <c r="AA43" s="1101"/>
      <c r="AB43" s="1101"/>
      <c r="AC43" s="1101"/>
      <c r="AD43" s="1061">
        <f t="shared" si="1"/>
        <v>0</v>
      </c>
    </row>
    <row r="44" spans="2:32" x14ac:dyDescent="0.3">
      <c r="F44" s="1101"/>
      <c r="G44" s="1101"/>
      <c r="H44" s="1101"/>
      <c r="I44" s="1101"/>
      <c r="J44" s="1101"/>
      <c r="K44" s="1101"/>
      <c r="L44" s="1101"/>
      <c r="M44" s="1101"/>
      <c r="N44" s="1101"/>
      <c r="O44" s="1101"/>
      <c r="P44" s="1101"/>
      <c r="Q44" s="1101"/>
      <c r="R44" s="1101"/>
      <c r="S44" s="1101"/>
      <c r="T44" s="1101"/>
      <c r="U44" s="1101"/>
      <c r="V44" s="1101"/>
      <c r="W44" s="1101"/>
      <c r="X44" s="1101"/>
      <c r="Y44" s="1101"/>
      <c r="Z44" s="1101"/>
      <c r="AA44" s="1101"/>
      <c r="AB44" s="1101"/>
      <c r="AC44" s="1101"/>
      <c r="AD44" s="1061">
        <f t="shared" si="1"/>
        <v>0</v>
      </c>
    </row>
    <row r="45" spans="2:32" x14ac:dyDescent="0.3">
      <c r="F45" s="1101"/>
      <c r="G45" s="1101"/>
      <c r="H45" s="1101"/>
      <c r="I45" s="1101"/>
      <c r="J45" s="1101"/>
      <c r="K45" s="1101"/>
      <c r="L45" s="1101"/>
      <c r="M45" s="1101"/>
      <c r="N45" s="1101"/>
      <c r="O45" s="1101"/>
      <c r="P45" s="1101"/>
      <c r="Q45" s="1101"/>
      <c r="R45" s="1101"/>
      <c r="S45" s="1101"/>
      <c r="T45" s="1101"/>
      <c r="U45" s="1101"/>
      <c r="V45" s="1101"/>
      <c r="W45" s="1101"/>
      <c r="X45" s="1101"/>
      <c r="Y45" s="1101"/>
      <c r="Z45" s="1101"/>
      <c r="AA45" s="1101"/>
      <c r="AB45" s="1101"/>
      <c r="AC45" s="1101"/>
      <c r="AD45" s="1061">
        <f t="shared" si="1"/>
        <v>0</v>
      </c>
    </row>
    <row r="46" spans="2:32" x14ac:dyDescent="0.3">
      <c r="F46" s="1101"/>
      <c r="G46" s="1101"/>
      <c r="H46" s="1101"/>
      <c r="I46" s="1101"/>
      <c r="J46" s="1101"/>
      <c r="K46" s="1101"/>
      <c r="L46" s="1101"/>
      <c r="M46" s="1101"/>
      <c r="N46" s="1101"/>
      <c r="O46" s="1101"/>
      <c r="P46" s="1101"/>
      <c r="Q46" s="1101"/>
      <c r="R46" s="1101"/>
      <c r="S46" s="1101"/>
      <c r="T46" s="1101"/>
      <c r="U46" s="1101"/>
      <c r="V46" s="1101"/>
      <c r="W46" s="1101"/>
      <c r="X46" s="1101"/>
      <c r="Y46" s="1101"/>
      <c r="Z46" s="1101"/>
      <c r="AA46" s="1101"/>
      <c r="AB46" s="1101"/>
      <c r="AC46" s="1101"/>
      <c r="AD46" s="1061">
        <f t="shared" si="1"/>
        <v>0</v>
      </c>
    </row>
    <row r="47" spans="2:32" x14ac:dyDescent="0.3">
      <c r="F47" s="1101"/>
      <c r="G47" s="1101"/>
      <c r="H47" s="1101"/>
      <c r="I47" s="1101"/>
      <c r="J47" s="1101"/>
      <c r="K47" s="1101"/>
      <c r="L47" s="1101"/>
      <c r="M47" s="1101"/>
      <c r="N47" s="1101"/>
      <c r="O47" s="1101"/>
      <c r="P47" s="1101"/>
      <c r="Q47" s="1101"/>
      <c r="R47" s="1101"/>
      <c r="S47" s="1101"/>
      <c r="T47" s="1101"/>
      <c r="U47" s="1101"/>
      <c r="V47" s="1101"/>
      <c r="W47" s="1101"/>
      <c r="X47" s="1101"/>
      <c r="Y47" s="1101"/>
      <c r="Z47" s="1101"/>
      <c r="AA47" s="1101"/>
      <c r="AB47" s="1101"/>
      <c r="AC47" s="1101"/>
      <c r="AD47" s="1061">
        <f t="shared" si="1"/>
        <v>0</v>
      </c>
    </row>
    <row r="48" spans="2:32" x14ac:dyDescent="0.3">
      <c r="F48" s="1101"/>
      <c r="G48" s="1101"/>
      <c r="H48" s="1101"/>
      <c r="I48" s="1101"/>
      <c r="J48" s="1101"/>
      <c r="K48" s="1101"/>
      <c r="L48" s="1101"/>
      <c r="M48" s="1101"/>
      <c r="N48" s="1101"/>
      <c r="O48" s="1101"/>
      <c r="P48" s="1101"/>
      <c r="Q48" s="1101"/>
      <c r="R48" s="1101"/>
      <c r="S48" s="1101"/>
      <c r="T48" s="1101"/>
      <c r="U48" s="1101"/>
      <c r="V48" s="1101"/>
      <c r="W48" s="1101"/>
      <c r="X48" s="1101"/>
      <c r="Y48" s="1101"/>
      <c r="Z48" s="1101"/>
      <c r="AA48" s="1101"/>
      <c r="AB48" s="1101"/>
      <c r="AC48" s="1101"/>
      <c r="AD48" s="1061">
        <f t="shared" si="1"/>
        <v>0</v>
      </c>
      <c r="AF48" s="1056" t="s">
        <v>576</v>
      </c>
    </row>
    <row r="49" spans="4:34" x14ac:dyDescent="0.3">
      <c r="F49" s="1101"/>
      <c r="G49" s="1101"/>
      <c r="H49" s="1101"/>
      <c r="I49" s="1101"/>
      <c r="J49" s="1101"/>
      <c r="K49" s="1101"/>
      <c r="L49" s="1101"/>
      <c r="M49" s="1101"/>
      <c r="N49" s="1101"/>
      <c r="O49" s="1101"/>
      <c r="P49" s="1101"/>
      <c r="Q49" s="1101"/>
      <c r="R49" s="1101"/>
      <c r="S49" s="1101"/>
      <c r="T49" s="1101"/>
      <c r="U49" s="1101"/>
      <c r="V49" s="1101"/>
      <c r="W49" s="1101"/>
      <c r="X49" s="1101"/>
      <c r="Y49" s="1101"/>
      <c r="Z49" s="1101"/>
      <c r="AA49" s="1101"/>
      <c r="AB49" s="1101"/>
      <c r="AC49" s="1101"/>
      <c r="AD49" s="1061">
        <f t="shared" si="1"/>
        <v>0</v>
      </c>
    </row>
    <row r="50" spans="4:34" x14ac:dyDescent="0.3">
      <c r="F50" s="1101"/>
      <c r="G50" s="1101"/>
      <c r="H50" s="1101"/>
      <c r="I50" s="1101"/>
      <c r="J50" s="1101"/>
      <c r="K50" s="1101"/>
      <c r="L50" s="1101"/>
      <c r="M50" s="1101"/>
      <c r="N50" s="1101"/>
      <c r="O50" s="1101"/>
      <c r="P50" s="1101"/>
      <c r="Q50" s="1101"/>
      <c r="R50" s="1101"/>
      <c r="S50" s="1101"/>
      <c r="T50" s="1101"/>
      <c r="U50" s="1101"/>
      <c r="V50" s="1101"/>
      <c r="W50" s="1101"/>
      <c r="X50" s="1101"/>
      <c r="Y50" s="1101"/>
      <c r="Z50" s="1101"/>
      <c r="AA50" s="1101"/>
      <c r="AB50" s="1101"/>
      <c r="AC50" s="1101"/>
      <c r="AD50" s="1061">
        <f t="shared" si="1"/>
        <v>0</v>
      </c>
    </row>
    <row r="51" spans="4:34" x14ac:dyDescent="0.3">
      <c r="F51" s="1101"/>
      <c r="G51" s="1101"/>
      <c r="H51" s="1101"/>
      <c r="I51" s="1101"/>
      <c r="J51" s="1101"/>
      <c r="K51" s="1101"/>
      <c r="L51" s="1101"/>
      <c r="M51" s="1101"/>
      <c r="N51" s="1101"/>
      <c r="O51" s="1101"/>
      <c r="P51" s="1101"/>
      <c r="Q51" s="1101"/>
      <c r="R51" s="1101"/>
      <c r="S51" s="1101"/>
      <c r="T51" s="1101"/>
      <c r="U51" s="1101"/>
      <c r="V51" s="1101"/>
      <c r="W51" s="1101"/>
      <c r="X51" s="1101"/>
      <c r="Y51" s="1101"/>
      <c r="Z51" s="1101"/>
      <c r="AA51" s="1101"/>
      <c r="AB51" s="1101"/>
      <c r="AC51" s="1101"/>
      <c r="AD51" s="1061">
        <f t="shared" si="1"/>
        <v>0</v>
      </c>
    </row>
    <row r="53" spans="4:34" x14ac:dyDescent="0.3">
      <c r="D53" s="1060" t="s">
        <v>92</v>
      </c>
      <c r="E53" s="1061" t="s">
        <v>681</v>
      </c>
      <c r="F53" s="1061">
        <f>SUM(F3:F51)</f>
        <v>0.81162026353604322</v>
      </c>
      <c r="G53" s="1061">
        <f t="shared" ref="G53:K53" si="2">SUM(G37:G51)</f>
        <v>0</v>
      </c>
      <c r="H53" s="1061">
        <f t="shared" si="2"/>
        <v>0</v>
      </c>
      <c r="I53" s="1061">
        <f t="shared" si="2"/>
        <v>0</v>
      </c>
      <c r="J53" s="1061">
        <f>SUM(J37:J51)</f>
        <v>0</v>
      </c>
      <c r="K53" s="1061">
        <f t="shared" si="2"/>
        <v>0</v>
      </c>
      <c r="L53" s="1061"/>
      <c r="M53" s="1061">
        <f>SUM(M37:M51)</f>
        <v>0</v>
      </c>
      <c r="N53" s="1061">
        <f>SUM(N37:N51)</f>
        <v>3.5</v>
      </c>
      <c r="O53" s="1061">
        <f>SUM(O37:O51)</f>
        <v>1.75</v>
      </c>
      <c r="P53" s="1061"/>
      <c r="Q53" s="1061">
        <f>SUM(Q37:Q51)</f>
        <v>0</v>
      </c>
      <c r="R53" s="1061">
        <f t="shared" ref="R53:V53" si="3">SUM(R37:R51)</f>
        <v>0</v>
      </c>
      <c r="S53" s="1061">
        <f t="shared" si="3"/>
        <v>0</v>
      </c>
      <c r="T53" s="1061"/>
      <c r="U53" s="1061"/>
      <c r="V53" s="1061">
        <f t="shared" si="3"/>
        <v>0</v>
      </c>
      <c r="W53" s="1061"/>
      <c r="X53" s="1061"/>
      <c r="Y53" s="1061"/>
      <c r="Z53" s="1061"/>
      <c r="AA53" s="1061"/>
      <c r="AB53" s="1061"/>
      <c r="AC53" s="1061"/>
      <c r="AD53" s="1061"/>
    </row>
    <row r="54" spans="4:34" x14ac:dyDescent="0.3">
      <c r="E54" s="1054" t="s">
        <v>581</v>
      </c>
    </row>
    <row r="55" spans="4:34" x14ac:dyDescent="0.3">
      <c r="D55" s="1056" t="s">
        <v>580</v>
      </c>
    </row>
    <row r="56" spans="4:34" x14ac:dyDescent="0.3">
      <c r="D56" s="1056" t="s">
        <v>582</v>
      </c>
      <c r="AH56" s="1065"/>
    </row>
    <row r="57" spans="4:34" x14ac:dyDescent="0.3">
      <c r="D57" s="1056" t="s">
        <v>583</v>
      </c>
    </row>
    <row r="58" spans="4:34" x14ac:dyDescent="0.3">
      <c r="D58" s="1056" t="s">
        <v>584</v>
      </c>
      <c r="F58" s="1061"/>
      <c r="G58" s="1065"/>
      <c r="Q58" s="1061">
        <f>+M10+M12</f>
        <v>0</v>
      </c>
      <c r="R58" s="1065"/>
    </row>
    <row r="59" spans="4:34" x14ac:dyDescent="0.3">
      <c r="D59" s="1056" t="s">
        <v>585</v>
      </c>
      <c r="AD59" s="1056" t="s">
        <v>586</v>
      </c>
    </row>
    <row r="60" spans="4:34" x14ac:dyDescent="0.3">
      <c r="D60" s="1056" t="s">
        <v>587</v>
      </c>
      <c r="F60" s="1056" t="s">
        <v>588</v>
      </c>
      <c r="Q60" s="1056" t="s">
        <v>588</v>
      </c>
    </row>
    <row r="61" spans="4:34" x14ac:dyDescent="0.3">
      <c r="D61" s="1056" t="s">
        <v>589</v>
      </c>
      <c r="F61" s="1056" t="s">
        <v>590</v>
      </c>
      <c r="Q61" s="1056" t="s">
        <v>590</v>
      </c>
    </row>
    <row r="62" spans="4:34" x14ac:dyDescent="0.3">
      <c r="D62" s="1056" t="s">
        <v>591</v>
      </c>
      <c r="F62" s="1056" t="s">
        <v>592</v>
      </c>
      <c r="Q62" s="1056" t="s">
        <v>592</v>
      </c>
    </row>
    <row r="63" spans="4:34" x14ac:dyDescent="0.3">
      <c r="D63" s="1056" t="s">
        <v>593</v>
      </c>
      <c r="F63" s="1056" t="s">
        <v>594</v>
      </c>
      <c r="Q63" s="1056" t="s">
        <v>594</v>
      </c>
    </row>
    <row r="64" spans="4:34" x14ac:dyDescent="0.3">
      <c r="D64" s="1056" t="s">
        <v>595</v>
      </c>
      <c r="F64" s="1056" t="s">
        <v>596</v>
      </c>
      <c r="Q64" s="1056" t="s">
        <v>596</v>
      </c>
    </row>
    <row r="65" spans="4:13" x14ac:dyDescent="0.3">
      <c r="D65" s="1056" t="s">
        <v>597</v>
      </c>
    </row>
    <row r="66" spans="4:13" x14ac:dyDescent="0.3">
      <c r="D66" s="1056" t="s">
        <v>598</v>
      </c>
    </row>
    <row r="67" spans="4:13" x14ac:dyDescent="0.3">
      <c r="D67" s="1056" t="s">
        <v>599</v>
      </c>
    </row>
    <row r="68" spans="4:13" x14ac:dyDescent="0.3">
      <c r="D68" s="1054" t="s">
        <v>600</v>
      </c>
    </row>
    <row r="69" spans="4:13" x14ac:dyDescent="0.3">
      <c r="D69" s="1056" t="s">
        <v>601</v>
      </c>
    </row>
    <row r="70" spans="4:13" x14ac:dyDescent="0.3">
      <c r="D70" s="1056" t="s">
        <v>602</v>
      </c>
    </row>
    <row r="72" spans="4:13" x14ac:dyDescent="0.3">
      <c r="D72" s="1054" t="s">
        <v>603</v>
      </c>
    </row>
    <row r="75" spans="4:13" x14ac:dyDescent="0.3">
      <c r="G75" s="1056" t="s">
        <v>565</v>
      </c>
      <c r="H75" s="1056" t="s">
        <v>477</v>
      </c>
      <c r="M75" s="1056" t="s">
        <v>644</v>
      </c>
    </row>
    <row r="76" spans="4:13" x14ac:dyDescent="0.3">
      <c r="D76" s="1054" t="s">
        <v>604</v>
      </c>
      <c r="G76" s="1056" t="s">
        <v>642</v>
      </c>
      <c r="H76" s="1061">
        <v>162594</v>
      </c>
      <c r="M76" s="1061"/>
    </row>
    <row r="77" spans="4:13" x14ac:dyDescent="0.3">
      <c r="G77" s="1056" t="s">
        <v>643</v>
      </c>
      <c r="H77" s="1061">
        <v>172106</v>
      </c>
      <c r="M77" s="1061"/>
    </row>
    <row r="78" spans="4:13" x14ac:dyDescent="0.3">
      <c r="G78" s="1056" t="s">
        <v>450</v>
      </c>
      <c r="H78" s="1061">
        <v>7426</v>
      </c>
      <c r="M78" s="1061">
        <v>3899</v>
      </c>
    </row>
    <row r="79" spans="4:13" x14ac:dyDescent="0.3">
      <c r="G79" s="1056" t="s">
        <v>446</v>
      </c>
      <c r="H79" s="1061">
        <v>238680</v>
      </c>
      <c r="M79" s="1061">
        <v>119000</v>
      </c>
    </row>
    <row r="80" spans="4:13" x14ac:dyDescent="0.3">
      <c r="H80" s="1061"/>
      <c r="M80" s="1061"/>
    </row>
    <row r="81" spans="4:13" x14ac:dyDescent="0.3">
      <c r="G81" s="1056" t="s">
        <v>645</v>
      </c>
      <c r="H81" s="1061"/>
      <c r="M81" s="1061">
        <v>488320</v>
      </c>
    </row>
    <row r="82" spans="4:13" x14ac:dyDescent="0.3">
      <c r="D82" s="1054" t="s">
        <v>608</v>
      </c>
    </row>
    <row r="83" spans="4:13" x14ac:dyDescent="0.3">
      <c r="G83" s="1056" t="s">
        <v>642</v>
      </c>
      <c r="H83" s="1061" t="e">
        <f>H76+#REF!+#REF!+#REF!+#REF!+#REF!</f>
        <v>#REF!</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68CF-83CF-44F8-834F-E83BA17A9AAC}">
  <dimension ref="C1:AP92"/>
  <sheetViews>
    <sheetView workbookViewId="0">
      <selection activeCell="H5" sqref="H5"/>
    </sheetView>
  </sheetViews>
  <sheetFormatPr defaultColWidth="9.109375" defaultRowHeight="14.4" x14ac:dyDescent="0.3"/>
  <cols>
    <col min="1" max="2" width="9.109375" style="1056"/>
    <col min="3" max="3" width="52" style="1054" customWidth="1"/>
    <col min="4" max="4" width="17.21875" style="1056" customWidth="1"/>
    <col min="5" max="8" width="15.21875" style="1056" customWidth="1"/>
    <col min="9" max="9" width="12.109375" style="1056" customWidth="1"/>
    <col min="10" max="10" width="10.5546875" style="1056" bestFit="1" customWidth="1"/>
    <col min="11" max="11" width="11.5546875" style="1056" customWidth="1"/>
    <col min="12" max="12" width="10.109375" style="1056" customWidth="1"/>
    <col min="13" max="14" width="10.88671875" style="1056" customWidth="1"/>
    <col min="15" max="15" width="9.109375" style="1056"/>
    <col min="16" max="16" width="14.109375" style="1056" customWidth="1"/>
    <col min="17" max="17" width="10.5546875" style="1056" bestFit="1" customWidth="1"/>
    <col min="18" max="20" width="12.88671875" style="1056" customWidth="1"/>
    <col min="21" max="25" width="12.44140625" style="1056" customWidth="1"/>
    <col min="26" max="29" width="15.21875" style="1056" customWidth="1"/>
    <col min="30" max="33" width="12.88671875" style="1056" customWidth="1"/>
    <col min="34" max="34" width="10.5546875" style="1056" bestFit="1" customWidth="1"/>
    <col min="35" max="37" width="9.109375" style="1056"/>
    <col min="38" max="38" width="11" style="1056" bestFit="1" customWidth="1"/>
    <col min="39" max="16384" width="9.109375" style="1056"/>
  </cols>
  <sheetData>
    <row r="1" spans="3:42" x14ac:dyDescent="0.3">
      <c r="D1" s="1055" t="s">
        <v>560</v>
      </c>
      <c r="E1" s="1055"/>
      <c r="F1" s="1055"/>
      <c r="G1" s="1055"/>
      <c r="H1" s="1055"/>
      <c r="J1" s="1057">
        <v>480964.47121216822</v>
      </c>
      <c r="K1" s="1057">
        <v>944472.90841449238</v>
      </c>
      <c r="L1" s="1057">
        <v>239855.46602403864</v>
      </c>
      <c r="M1" s="1057">
        <v>1832466.0490282716</v>
      </c>
      <c r="N1" s="1057">
        <v>1780257.4678688245</v>
      </c>
      <c r="O1" s="1057" t="s">
        <v>561</v>
      </c>
      <c r="P1" s="1057">
        <v>1047571.0445128934</v>
      </c>
      <c r="Q1" s="1058">
        <f>+Q44</f>
        <v>0</v>
      </c>
      <c r="R1" s="1057" t="s">
        <v>561</v>
      </c>
      <c r="S1" s="1057">
        <v>1780257.4678688245</v>
      </c>
      <c r="T1" s="1057">
        <v>1047571.0445128934</v>
      </c>
      <c r="U1" s="1057">
        <v>480964.47121216822</v>
      </c>
      <c r="V1" s="1057">
        <v>944472.90841449238</v>
      </c>
      <c r="W1" s="1057">
        <v>239855.46602403864</v>
      </c>
      <c r="X1" s="1057"/>
      <c r="Y1" s="1057"/>
      <c r="Z1" s="1057">
        <v>1832466.0490282716</v>
      </c>
      <c r="AA1" s="1057"/>
      <c r="AB1" s="1057"/>
      <c r="AC1" s="1057"/>
      <c r="AD1" s="1057"/>
      <c r="AE1" s="1057"/>
      <c r="AF1" s="1057"/>
      <c r="AG1" s="1057"/>
    </row>
    <row r="2" spans="3:42" x14ac:dyDescent="0.3">
      <c r="J2" s="1054"/>
      <c r="K2" s="1054"/>
      <c r="L2" s="1054"/>
      <c r="M2" s="1054"/>
      <c r="O2" s="1054"/>
      <c r="Q2" s="1054"/>
      <c r="R2" s="1054"/>
      <c r="U2" s="1054" t="s">
        <v>562</v>
      </c>
      <c r="V2" s="1054"/>
      <c r="W2" s="1054"/>
      <c r="X2" s="1054"/>
      <c r="Y2" s="1054"/>
      <c r="Z2" s="1054"/>
      <c r="AA2" s="1054"/>
      <c r="AB2" s="1054"/>
      <c r="AC2" s="1054"/>
    </row>
    <row r="3" spans="3:42" x14ac:dyDescent="0.3">
      <c r="D3" s="1054"/>
      <c r="E3" s="1054"/>
      <c r="F3" s="1054"/>
      <c r="G3" s="1054"/>
      <c r="H3" s="1054"/>
      <c r="L3" s="1061">
        <f>SUM(L10:AA10,AD10:AE10)</f>
        <v>18209820.913006313</v>
      </c>
      <c r="AK3" s="1054" t="s">
        <v>563</v>
      </c>
      <c r="AL3" s="1054"/>
      <c r="AM3" s="1054"/>
      <c r="AN3" s="1054"/>
      <c r="AO3" s="1054"/>
      <c r="AP3" s="1054"/>
    </row>
    <row r="4" spans="3:42" x14ac:dyDescent="0.3">
      <c r="D4" s="1054"/>
      <c r="E4" s="1054"/>
      <c r="F4" s="1054"/>
      <c r="G4" s="1054"/>
      <c r="H4" s="1054"/>
      <c r="L4" s="1061">
        <f>SUM(J10:K10)</f>
        <v>1429635.6</v>
      </c>
      <c r="AK4" s="1056" t="s">
        <v>564</v>
      </c>
    </row>
    <row r="5" spans="3:42" s="1054" customFormat="1" ht="43.2" x14ac:dyDescent="0.3">
      <c r="D5" s="1054" t="s">
        <v>148</v>
      </c>
      <c r="E5" s="1054" t="s">
        <v>616</v>
      </c>
      <c r="F5" s="1054" t="s">
        <v>212</v>
      </c>
      <c r="G5" s="1054" t="s">
        <v>565</v>
      </c>
      <c r="J5" s="1060" t="s">
        <v>369</v>
      </c>
      <c r="K5" s="1060">
        <v>22</v>
      </c>
      <c r="L5" s="1096">
        <v>28</v>
      </c>
      <c r="M5" s="1096">
        <v>50</v>
      </c>
      <c r="N5" s="1096">
        <v>55</v>
      </c>
      <c r="O5" s="1096">
        <v>51</v>
      </c>
      <c r="P5" s="1096" t="s">
        <v>653</v>
      </c>
      <c r="Q5" s="1096">
        <v>30</v>
      </c>
      <c r="R5" s="1097" t="s">
        <v>637</v>
      </c>
      <c r="S5" s="1097" t="s">
        <v>638</v>
      </c>
      <c r="T5" s="1097" t="s">
        <v>636</v>
      </c>
      <c r="U5" s="1096" t="s">
        <v>629</v>
      </c>
      <c r="V5" s="1096" t="s">
        <v>630</v>
      </c>
      <c r="W5" s="1096" t="s">
        <v>631</v>
      </c>
      <c r="X5" s="1096" t="s">
        <v>374</v>
      </c>
      <c r="Y5" s="1097" t="s">
        <v>652</v>
      </c>
      <c r="Z5" s="1097" t="s">
        <v>632</v>
      </c>
      <c r="AA5" s="1097" t="s">
        <v>633</v>
      </c>
      <c r="AB5" s="1072" t="s">
        <v>634</v>
      </c>
      <c r="AC5" s="1072" t="s">
        <v>635</v>
      </c>
      <c r="AD5" s="1097" t="s">
        <v>639</v>
      </c>
      <c r="AE5" s="1097" t="s">
        <v>640</v>
      </c>
      <c r="AF5" s="1072" t="s">
        <v>641</v>
      </c>
      <c r="AG5" s="1072" t="s">
        <v>625</v>
      </c>
      <c r="AH5" s="1060" t="s">
        <v>92</v>
      </c>
      <c r="AI5" s="1060" t="s">
        <v>246</v>
      </c>
    </row>
    <row r="6" spans="3:42" ht="21" x14ac:dyDescent="0.4">
      <c r="I6" s="1066" t="str">
        <f>'Operating Stats'!C6</f>
        <v>Agency</v>
      </c>
      <c r="J6" s="1056" t="str">
        <f>'Operating Stats'!C7</f>
        <v>TTD</v>
      </c>
      <c r="K6" s="1056" t="str">
        <f>'Operating Stats'!C8</f>
        <v>TTD</v>
      </c>
      <c r="L6" s="1056" t="str">
        <f>'Operating Stats'!C9</f>
        <v>TTD</v>
      </c>
      <c r="M6" s="1056" t="str">
        <f>'Operating Stats'!C11</f>
        <v>TTD</v>
      </c>
      <c r="N6" s="1056" t="str">
        <f>'Operating Stats'!C13</f>
        <v>TTD</v>
      </c>
      <c r="O6" s="1056" t="str">
        <f>'Operating Stats'!C12</f>
        <v>TTD</v>
      </c>
      <c r="P6" s="1056" t="str">
        <f>'Operating Stats'!C14</f>
        <v>TTD</v>
      </c>
      <c r="Q6" s="1056" t="str">
        <f>'Operating Stats'!C10</f>
        <v>TTD</v>
      </c>
      <c r="R6" s="1056" t="str">
        <f>'Operating Stats'!C16</f>
        <v>SSTMA</v>
      </c>
      <c r="S6" s="1056" t="str">
        <f>'Operating Stats'!C17</f>
        <v>SSTMA</v>
      </c>
      <c r="T6" s="1056" t="str">
        <f>'Operating Stats'!C18</f>
        <v>SSTMA</v>
      </c>
      <c r="U6" s="1056" t="str">
        <f>'Operating Stats'!C22</f>
        <v>TART</v>
      </c>
      <c r="V6" s="1056" t="str">
        <f>'Operating Stats'!C23</f>
        <v>TART</v>
      </c>
      <c r="W6" s="1056" t="str">
        <f>'Operating Stats'!C24</f>
        <v>TART</v>
      </c>
      <c r="X6" s="1056" t="str">
        <f>'Operating Stats'!C25</f>
        <v>TART</v>
      </c>
      <c r="Y6" s="1056" t="str">
        <f>'Operating Stats'!C26</f>
        <v>TART</v>
      </c>
      <c r="Z6" s="1056" t="str">
        <f>'Operating Stats'!C28</f>
        <v>TART</v>
      </c>
      <c r="AA6" s="1056" t="str">
        <f>'Operating Stats'!C29</f>
        <v>TART</v>
      </c>
      <c r="AB6" s="1056" t="str">
        <f>'Operating Stats'!C30</f>
        <v>TART</v>
      </c>
      <c r="AC6" s="1056" t="str">
        <f>'Operating Stats'!C31</f>
        <v>TART</v>
      </c>
      <c r="AD6" s="1056" t="str">
        <f>'Operating Stats'!C32</f>
        <v>TNTTMA</v>
      </c>
      <c r="AE6" s="1056" t="str">
        <f>'Operating Stats'!C33</f>
        <v>TNTTMA</v>
      </c>
      <c r="AF6" s="1056" t="str">
        <f>'Operating Stats'!C34</f>
        <v>TNTTMA</v>
      </c>
    </row>
    <row r="7" spans="3:42" ht="21" x14ac:dyDescent="0.4">
      <c r="C7" s="1066" t="s">
        <v>611</v>
      </c>
      <c r="D7" s="1056" t="s">
        <v>617</v>
      </c>
      <c r="E7" s="1056" t="s">
        <v>617</v>
      </c>
      <c r="F7" s="1056" t="s">
        <v>617</v>
      </c>
      <c r="G7" s="1056" t="s">
        <v>654</v>
      </c>
      <c r="I7" s="1066" t="str">
        <f>'Operating Stats'!D6</f>
        <v>Operator</v>
      </c>
      <c r="J7" s="1056" t="str">
        <f>'Operating Stats'!D7</f>
        <v>TTD</v>
      </c>
      <c r="K7" s="1056" t="str">
        <f>'Operating Stats'!D8</f>
        <v>TTD</v>
      </c>
      <c r="L7" s="1056" t="str">
        <f>'Operating Stats'!D9</f>
        <v>TTD</v>
      </c>
      <c r="M7" s="1056" t="str">
        <f>'Operating Stats'!D11</f>
        <v>TTD</v>
      </c>
      <c r="N7" s="1056" t="str">
        <f>'Operating Stats'!D13</f>
        <v>TTD</v>
      </c>
      <c r="O7" s="1056" t="str">
        <f>'Operating Stats'!D12</f>
        <v>TTD</v>
      </c>
      <c r="P7" s="1056" t="str">
        <f>'Operating Stats'!D14</f>
        <v>TTD</v>
      </c>
      <c r="Q7" s="1056" t="str">
        <f>'Operating Stats'!D10</f>
        <v>Via</v>
      </c>
      <c r="R7" s="1056" t="str">
        <f>'Operating Stats'!D16</f>
        <v>Via</v>
      </c>
      <c r="S7" s="1056" t="str">
        <f>'Operating Stats'!D17</f>
        <v>Via</v>
      </c>
      <c r="T7" s="1056" t="str">
        <f>'Operating Stats'!D18</f>
        <v>Via</v>
      </c>
      <c r="U7" s="1056" t="str">
        <f>'Operating Stats'!D22</f>
        <v>TART</v>
      </c>
      <c r="V7" s="1056" t="str">
        <f>'Operating Stats'!D23</f>
        <v>TART</v>
      </c>
      <c r="W7" s="1056" t="str">
        <f>'Operating Stats'!D24</f>
        <v>TART</v>
      </c>
      <c r="X7" s="1056" t="str">
        <f>'Operating Stats'!D25</f>
        <v>TART</v>
      </c>
      <c r="Y7" s="1056" t="str">
        <f>'Operating Stats'!D26</f>
        <v>Truckee</v>
      </c>
      <c r="Z7" s="1056" t="str">
        <f>'Operating Stats'!D28</f>
        <v>Downtowner</v>
      </c>
      <c r="AA7" s="1056" t="str">
        <f>'Operating Stats'!D29</f>
        <v>Downtowner</v>
      </c>
      <c r="AB7" s="1056" t="str">
        <f>'Operating Stats'!D30</f>
        <v>Downtowner</v>
      </c>
      <c r="AC7" s="1056" t="str">
        <f>'Operating Stats'!D31</f>
        <v>Downtowner</v>
      </c>
      <c r="AD7" s="1056" t="str">
        <f>'Operating Stats'!D32</f>
        <v>MRTW</v>
      </c>
      <c r="AE7" s="1056" t="str">
        <f>'Operating Stats'!D33</f>
        <v>MRTW</v>
      </c>
      <c r="AF7" s="1056" t="str">
        <f>'Operating Stats'!D34</f>
        <v>MRTW</v>
      </c>
      <c r="AK7" s="1059" t="s">
        <v>195</v>
      </c>
      <c r="AL7" s="1056" t="s">
        <v>212</v>
      </c>
      <c r="AM7" s="1056" t="s">
        <v>565</v>
      </c>
    </row>
    <row r="8" spans="3:42" ht="21" x14ac:dyDescent="0.4">
      <c r="C8" s="1066"/>
      <c r="I8" s="1054" t="s">
        <v>676</v>
      </c>
      <c r="J8" s="1056" t="str">
        <f>CONCATENATE(J6,J7)</f>
        <v>TTDTTD</v>
      </c>
      <c r="K8" s="1056" t="str">
        <f t="shared" ref="K8:AF8" si="0">CONCATENATE(K6,K7)</f>
        <v>TTDTTD</v>
      </c>
      <c r="L8" s="1056" t="str">
        <f t="shared" si="0"/>
        <v>TTDTTD</v>
      </c>
      <c r="M8" s="1056" t="str">
        <f t="shared" si="0"/>
        <v>TTDTTD</v>
      </c>
      <c r="N8" s="1056" t="str">
        <f>CONCATENATE(N6,N7)</f>
        <v>TTDTTD</v>
      </c>
      <c r="O8" s="1056" t="str">
        <f t="shared" si="0"/>
        <v>TTDTTD</v>
      </c>
      <c r="P8" s="1056" t="str">
        <f>CONCATENATE(P6,P7)</f>
        <v>TTDTTD</v>
      </c>
      <c r="Q8" s="1056" t="str">
        <f>CONCATENATE(Q6,Q7)</f>
        <v>TTDVia</v>
      </c>
      <c r="R8" s="1056" t="str">
        <f t="shared" ref="R8:S8" si="1">CONCATENATE(R6,R7)</f>
        <v>SSTMAVia</v>
      </c>
      <c r="S8" s="1056" t="str">
        <f t="shared" si="1"/>
        <v>SSTMAVia</v>
      </c>
      <c r="T8" s="1056" t="str">
        <f t="shared" si="0"/>
        <v>SSTMAVia</v>
      </c>
      <c r="U8" s="1056" t="str">
        <f t="shared" si="0"/>
        <v>TARTTART</v>
      </c>
      <c r="V8" s="1056" t="str">
        <f t="shared" si="0"/>
        <v>TARTTART</v>
      </c>
      <c r="W8" s="1056" t="str">
        <f t="shared" si="0"/>
        <v>TARTTART</v>
      </c>
      <c r="X8" s="1056" t="str">
        <f t="shared" si="0"/>
        <v>TARTTART</v>
      </c>
      <c r="Y8" s="1056" t="str">
        <f t="shared" si="0"/>
        <v>TARTTruckee</v>
      </c>
      <c r="Z8" s="1056" t="str">
        <f t="shared" si="0"/>
        <v>TARTDowntowner</v>
      </c>
      <c r="AA8" s="1056" t="str">
        <f t="shared" si="0"/>
        <v>TARTDowntowner</v>
      </c>
      <c r="AB8" s="1056" t="str">
        <f t="shared" si="0"/>
        <v>TARTDowntowner</v>
      </c>
      <c r="AC8" s="1056" t="str">
        <f t="shared" si="0"/>
        <v>TARTDowntowner</v>
      </c>
      <c r="AD8" s="1056" t="str">
        <f t="shared" si="0"/>
        <v>TNTTMAMRTW</v>
      </c>
      <c r="AE8" s="1056" t="str">
        <f t="shared" si="0"/>
        <v>TNTTMAMRTW</v>
      </c>
      <c r="AF8" s="1056" t="str">
        <f t="shared" si="0"/>
        <v>TNTTMAMRTW</v>
      </c>
      <c r="AK8" s="1059"/>
    </row>
    <row r="9" spans="3:42" ht="21" x14ac:dyDescent="0.4">
      <c r="C9" s="1066"/>
      <c r="I9" s="1088" t="s">
        <v>674</v>
      </c>
      <c r="J9" s="1068">
        <f>IF(J8='VRH Rates'!$C$7,'VRH Rates'!$I$7,IF(J8='VRH Rates'!$C$9,'VRH Rates'!$I$9,IF(J8='VRH Rates'!$C$10,'VRH Rates'!$I$10,IF(J8='VRH Rates'!$C$14,'VRH Rates'!$I$14,IF(J8='VRH Rates'!$C$15,'VRH Rates'!$I$15,IF(J8='VRH Rates'!$C$16,'VRH Rates'!$I$16,IF(J8='VRH Rates'!$C$20,'VRH Rates'!$I$20)))))))</f>
        <v>214.66</v>
      </c>
      <c r="K9" s="1068">
        <f>IF(K8='VRH Rates'!$C$7,'VRH Rates'!$I$7,IF(K8='VRH Rates'!$C$9,'VRH Rates'!$I$9,IF(K8='VRH Rates'!$C$10,'VRH Rates'!$I$10,IF(K8='VRH Rates'!$C$14,'VRH Rates'!$I$14,IF(K8='VRH Rates'!$C$15,'VRH Rates'!$I$15,IF(K8='VRH Rates'!$C$16,'VRH Rates'!$I$16,IF(K8='VRH Rates'!$C$20,'VRH Rates'!$I$20)))))))</f>
        <v>214.66</v>
      </c>
      <c r="L9" s="1068">
        <f>IF(L8='VRH Rates'!$C$7,'VRH Rates'!$I$7,IF(L8='VRH Rates'!$C$9,'VRH Rates'!$I$9,IF(L8='VRH Rates'!$C$10,'VRH Rates'!$I$10,IF(L8='VRH Rates'!$C$14,'VRH Rates'!$I$14,IF(L8='VRH Rates'!$C$15,'VRH Rates'!$I$15,IF(L8='VRH Rates'!$C$16,'VRH Rates'!$I$16,IF(L8='VRH Rates'!$C$20,'VRH Rates'!$I$20)))))))</f>
        <v>214.66</v>
      </c>
      <c r="M9" s="1068">
        <f>IF(M8='VRH Rates'!$C$7,'VRH Rates'!$I$7,IF(M8='VRH Rates'!$C$9,'VRH Rates'!$I$9,IF(M8='VRH Rates'!$C$10,'VRH Rates'!$I$10,IF(M8='VRH Rates'!$C$14,'VRH Rates'!$I$14,IF(M8='VRH Rates'!$C$15,'VRH Rates'!$I$15,IF(M8='VRH Rates'!$C$16,'VRH Rates'!$I$16,IF(M8='VRH Rates'!$C$20,'VRH Rates'!$I$20)))))))</f>
        <v>214.66</v>
      </c>
      <c r="N9" s="1068">
        <f>IF(N8='VRH Rates'!$C$7,'VRH Rates'!$I$7,IF(N8='VRH Rates'!$C$9,'VRH Rates'!$I$9,IF(N8='VRH Rates'!$C$10,'VRH Rates'!$I$10,IF(N8='VRH Rates'!$C$14,'VRH Rates'!$I$14,IF(N8='VRH Rates'!$C$15,'VRH Rates'!$I$15,IF(N8='VRH Rates'!$C$16,'VRH Rates'!$I$16,IF(N8='VRH Rates'!$C$20,'VRH Rates'!$I$20)))))))</f>
        <v>214.66</v>
      </c>
      <c r="O9" s="1068">
        <f>IF(O8='VRH Rates'!$C$7,'VRH Rates'!$I$7,IF(O8='VRH Rates'!$C$9,'VRH Rates'!$I$9,IF(O8='VRH Rates'!$C$10,'VRH Rates'!$I$10,IF(O8='VRH Rates'!$C$14,'VRH Rates'!$I$14,IF(O8='VRH Rates'!$C$15,'VRH Rates'!$I$15,IF(O8='VRH Rates'!$C$16,'VRH Rates'!$I$16,IF(O8='VRH Rates'!$C$20,'VRH Rates'!$I$20)))))))</f>
        <v>214.66</v>
      </c>
      <c r="P9" s="1068">
        <f>IF(P8='VRH Rates'!$C$7,'VRH Rates'!$I$7,IF(P8='VRH Rates'!$C$9,'VRH Rates'!$I$9,IF(P8='VRH Rates'!$C$10,'VRH Rates'!$I$10,IF(P8='VRH Rates'!$C$14,'VRH Rates'!$I$14,IF(P8='VRH Rates'!$C$15,'VRH Rates'!$I$15,IF(P8='VRH Rates'!$C$16,'VRH Rates'!$I$16,IF(P8='VRH Rates'!$C$20,'VRH Rates'!$I$20)))))))</f>
        <v>214.66</v>
      </c>
      <c r="Q9" s="1068">
        <f>IF(Q8='VRH Rates'!$C$7,'VRH Rates'!$I$7,IF(Q8='VRH Rates'!$C$9,'VRH Rates'!$I$9,IF(Q8='VRH Rates'!$C$10,'VRH Rates'!$I$10,IF(Q8='VRH Rates'!$C$14,'VRH Rates'!$I$14,IF(Q8='VRH Rates'!$C$15,'VRH Rates'!$I$15,IF(Q8='VRH Rates'!$C$16,'VRH Rates'!$I$16,IF(Q8='VRH Rates'!$C$20,'VRH Rates'!$I$20)))))))</f>
        <v>147.80000000000001</v>
      </c>
      <c r="R9" s="1068">
        <f>IF(R8='VRH Rates'!$C$7,'VRH Rates'!$I$7,IF(R8='VRH Rates'!$C$9,'VRH Rates'!$I$9,IF(R8='VRH Rates'!$C$10,'VRH Rates'!$I$10,IF(R8='VRH Rates'!$C$14,'VRH Rates'!$I$14,IF(R8='VRH Rates'!$C$15,'VRH Rates'!$I$15,IF(R8='VRH Rates'!$C$16,'VRH Rates'!$I$16,IF(R8='VRH Rates'!$C$20,'VRH Rates'!$I$20)))))))</f>
        <v>68.7</v>
      </c>
      <c r="S9" s="1068">
        <f>IF(S8='VRH Rates'!$C$7,'VRH Rates'!$I$7,IF(S8='VRH Rates'!$C$9,'VRH Rates'!$I$9,IF(S8='VRH Rates'!$C$10,'VRH Rates'!$I$10,IF(S8='VRH Rates'!$C$14,'VRH Rates'!$I$14,IF(S8='VRH Rates'!$C$15,'VRH Rates'!$I$15,IF(S8='VRH Rates'!$C$16,'VRH Rates'!$I$16,IF(S8='VRH Rates'!$C$20,'VRH Rates'!$I$20)))))))</f>
        <v>68.7</v>
      </c>
      <c r="T9" s="1068">
        <f>IF(T8='VRH Rates'!$C$7,'VRH Rates'!$I$7,IF(T8='VRH Rates'!$C$9,'VRH Rates'!$I$9,IF(T8='VRH Rates'!$C$10,'VRH Rates'!$I$10,IF(T8='VRH Rates'!$C$14,'VRH Rates'!$I$14,IF(T8='VRH Rates'!$C$15,'VRH Rates'!$I$15,IF(T8='VRH Rates'!$C$16,'VRH Rates'!$I$16,IF(T8='VRH Rates'!$C$20,'VRH Rates'!$I$20)))))))</f>
        <v>68.7</v>
      </c>
      <c r="U9" s="1068">
        <f>IF(U8='VRH Rates'!$C$7,'VRH Rates'!$I$7,IF(U8='VRH Rates'!$C$9,'VRH Rates'!$I$9,IF(U8='VRH Rates'!$C$10,'VRH Rates'!$I$10,IF(U8='VRH Rates'!$C$14,'VRH Rates'!$I$14,IF(U8='VRH Rates'!$C$15,'VRH Rates'!$I$15,IF(U8='VRH Rates'!$C$16,'VRH Rates'!$I$16,IF(U8='VRH Rates'!$C$20,'VRH Rates'!$I$20)))))))</f>
        <v>185.83</v>
      </c>
      <c r="V9" s="1068">
        <f>IF(V8='VRH Rates'!$C$7,'VRH Rates'!$I$7,IF(V8='VRH Rates'!$C$9,'VRH Rates'!$I$9,IF(V8='VRH Rates'!$C$10,'VRH Rates'!$I$10,IF(V8='VRH Rates'!$C$14,'VRH Rates'!$I$14,IF(V8='VRH Rates'!$C$15,'VRH Rates'!$I$15,IF(V8='VRH Rates'!$C$16,'VRH Rates'!$I$16,IF(V8='VRH Rates'!$C$20,'VRH Rates'!$I$20)))))))</f>
        <v>185.83</v>
      </c>
      <c r="W9" s="1068">
        <f>IF(W8='VRH Rates'!$C$7,'VRH Rates'!$I$7,IF(W8='VRH Rates'!$C$9,'VRH Rates'!$I$9,IF(W8='VRH Rates'!$C$10,'VRH Rates'!$I$10,IF(W8='VRH Rates'!$C$14,'VRH Rates'!$I$14,IF(W8='VRH Rates'!$C$15,'VRH Rates'!$I$15,IF(W8='VRH Rates'!$C$16,'VRH Rates'!$I$16,IF(W8='VRH Rates'!$C$20,'VRH Rates'!$I$20)))))))</f>
        <v>185.83</v>
      </c>
      <c r="X9" s="1068">
        <f>IF(X8='VRH Rates'!$C$7,'VRH Rates'!$I$7,IF(X8='VRH Rates'!$C$9,'VRH Rates'!$I$9,IF(X8='VRH Rates'!$C$10,'VRH Rates'!$I$10,IF(X8='VRH Rates'!$C$14,'VRH Rates'!$I$14,IF(X8='VRH Rates'!$C$15,'VRH Rates'!$I$15,IF(X8='VRH Rates'!$C$16,'VRH Rates'!$I$16,IF(X8='VRH Rates'!$C$20,'VRH Rates'!$I$20)))))))</f>
        <v>185.83</v>
      </c>
      <c r="Y9" s="1068">
        <f>IF(Y8='VRH Rates'!$C$7,'VRH Rates'!$I$7,IF(Y8='VRH Rates'!$C$9,'VRH Rates'!$I$9,IF(Y8='VRH Rates'!$C$10,'VRH Rates'!$I$10,IF(Y8='VRH Rates'!$C$14,'VRH Rates'!$I$14,IF(Y8='VRH Rates'!$C$15,'VRH Rates'!$I$15,IF(Y8='VRH Rates'!$C$16,'VRH Rates'!$I$16,IF(Y8='VRH Rates'!$C$20,'VRH Rates'!$I$20)))))))</f>
        <v>134.52932651755168</v>
      </c>
      <c r="Z9" s="1068">
        <f>IF(Z8='VRH Rates'!$C$7,'VRH Rates'!$I$7,IF(Z8='VRH Rates'!$C$9,'VRH Rates'!$I$9,IF(Z8='VRH Rates'!$C$10,'VRH Rates'!$I$10,IF(Z8='VRH Rates'!$C$14,'VRH Rates'!$I$14,IF(Z8='VRH Rates'!$C$15,'VRH Rates'!$I$15,IF(Z8='VRH Rates'!$C$16,'VRH Rates'!$I$16,IF(Z8='VRH Rates'!$C$20,'VRH Rates'!$I$20)))))))</f>
        <v>107.23</v>
      </c>
      <c r="AA9" s="1068">
        <f>IF(AA8='VRH Rates'!$C$7,'VRH Rates'!$I$7,IF(AA8='VRH Rates'!$C$9,'VRH Rates'!$I$9,IF(AA8='VRH Rates'!$C$10,'VRH Rates'!$I$10,IF(AA8='VRH Rates'!$C$14,'VRH Rates'!$I$14,IF(AA8='VRH Rates'!$C$15,'VRH Rates'!$I$15,IF(AA8='VRH Rates'!$C$16,'VRH Rates'!$I$16,IF(AA8='VRH Rates'!$C$20,'VRH Rates'!$I$20)))))))</f>
        <v>107.23</v>
      </c>
      <c r="AB9" s="1068">
        <f>IF(AB8='VRH Rates'!$C$7,'VRH Rates'!$I$7,IF(AB8='VRH Rates'!$C$9,'VRH Rates'!$I$9,IF(AB8='VRH Rates'!$C$10,'VRH Rates'!$I$10,IF(AB8='VRH Rates'!$C$14,'VRH Rates'!$I$14,IF(AB8='VRH Rates'!$C$15,'VRH Rates'!$I$15,IF(AB8='VRH Rates'!$C$16,'VRH Rates'!$I$16,IF(AB8='VRH Rates'!$C$20,'VRH Rates'!$I$20)))))))</f>
        <v>107.23</v>
      </c>
      <c r="AC9" s="1068">
        <f>IF(AC8='VRH Rates'!$C$7,'VRH Rates'!$I$7,IF(AC8='VRH Rates'!$C$9,'VRH Rates'!$I$9,IF(AC8='VRH Rates'!$C$10,'VRH Rates'!$I$10,IF(AC8='VRH Rates'!$C$14,'VRH Rates'!$I$14,IF(AC8='VRH Rates'!$C$15,'VRH Rates'!$I$15,IF(AC8='VRH Rates'!$C$16,'VRH Rates'!$I$16,IF(AC8='VRH Rates'!$C$20,'VRH Rates'!$I$20)))))))</f>
        <v>107.23</v>
      </c>
      <c r="AD9" s="1068">
        <f>IF(AD8='VRH Rates'!$C$7,'VRH Rates'!$I$7,IF(AD8='VRH Rates'!$C$9,'VRH Rates'!$I$9,IF(AD8='VRH Rates'!$C$10,'VRH Rates'!$I$10,IF(AD8='VRH Rates'!$C$14,'VRH Rates'!$I$14,IF(AD8='VRH Rates'!$C$15,'VRH Rates'!$I$15,IF(AD8='VRH Rates'!$C$16,'VRH Rates'!$I$16,IF(AD8='VRH Rates'!$C$20,'VRH Rates'!$I$20)))))))</f>
        <v>200.98390000000001</v>
      </c>
      <c r="AE9" s="1068">
        <f>IF(AE8='VRH Rates'!$C$7,'VRH Rates'!$I$7,IF(AE8='VRH Rates'!$C$9,'VRH Rates'!$I$9,IF(AE8='VRH Rates'!$C$10,'VRH Rates'!$I$10,IF(AE8='VRH Rates'!$C$14,'VRH Rates'!$I$14,IF(AE8='VRH Rates'!$C$15,'VRH Rates'!$I$15,IF(AE8='VRH Rates'!$C$16,'VRH Rates'!$I$16,IF(AE8='VRH Rates'!$C$20,'VRH Rates'!$I$20)))))))</f>
        <v>200.98390000000001</v>
      </c>
      <c r="AF9" s="1068">
        <f>IF(AF8='VRH Rates'!$C$7,'VRH Rates'!$I$7,IF(AF8='VRH Rates'!$C$9,'VRH Rates'!$I$9,IF(AF8='VRH Rates'!$C$10,'VRH Rates'!$I$10,IF(AF8='VRH Rates'!$C$14,'VRH Rates'!$I$14,IF(AF8='VRH Rates'!$C$15,'VRH Rates'!$I$15,IF(AF8='VRH Rates'!$C$16,'VRH Rates'!$I$16,IF(AF8='VRH Rates'!$C$20,'VRH Rates'!$I$20)))))))</f>
        <v>200.98390000000001</v>
      </c>
      <c r="AK9" s="1059"/>
    </row>
    <row r="10" spans="3:42" ht="17.399999999999999" customHeight="1" x14ac:dyDescent="0.4">
      <c r="C10" s="1066"/>
      <c r="I10" s="1088" t="s">
        <v>678</v>
      </c>
      <c r="J10" s="1061">
        <f>J9*'Operating Stats'!$F7</f>
        <v>483070.864</v>
      </c>
      <c r="K10" s="1061">
        <f>K9*'Operating Stats'!$F8</f>
        <v>946564.73600000003</v>
      </c>
      <c r="L10" s="1061">
        <f>L9*'Operating Stats'!$F9</f>
        <v>256024.98200000002</v>
      </c>
      <c r="M10" s="1061">
        <f>M9*'Operating Stats'!$F11</f>
        <v>2021796.676</v>
      </c>
      <c r="N10" s="1061">
        <f>N9*'Operating Stats'!$F13</f>
        <v>1998956.8520000002</v>
      </c>
      <c r="O10" s="1061">
        <f>O9*'Operating Stats'!$F12</f>
        <v>35848.22</v>
      </c>
      <c r="P10" s="1061">
        <f>P9*'Operating Stats'!$F14</f>
        <v>1165389.1399999999</v>
      </c>
      <c r="Q10" s="1061">
        <f>Q9*'Operating Stats'!$F10</f>
        <v>517300.00000000006</v>
      </c>
      <c r="R10" s="1061">
        <f>R9*'Operating Stats'!$F16</f>
        <v>1076345.8</v>
      </c>
      <c r="S10" s="1061">
        <f>S9*'Operating Stats'!$F17</f>
        <v>1076345.8</v>
      </c>
      <c r="T10" s="1061">
        <f>T9*'Operating Stats'!$F18</f>
        <v>1076345.8</v>
      </c>
      <c r="U10" s="1061">
        <f>U9*'Operating Stats'!$F22</f>
        <v>2497613.2718750001</v>
      </c>
      <c r="V10" s="1061">
        <f>V9*'Operating Stats'!$F23</f>
        <v>1548289.1025</v>
      </c>
      <c r="W10" s="1061">
        <f>W9*'Operating Stats'!$F24</f>
        <v>1564731.9603333336</v>
      </c>
      <c r="X10" s="1061">
        <f>X9*'Operating Stats'!$F25</f>
        <v>554702.55000000005</v>
      </c>
      <c r="Y10" s="1061">
        <f>Y9*'Operating Stats'!$F26</f>
        <v>262554.16009797971</v>
      </c>
      <c r="Z10" s="1061">
        <f>Z9*'Operating Stats'!$F28</f>
        <v>977312.4491000002</v>
      </c>
      <c r="AA10" s="1061">
        <f>AA9*'Operating Stats'!$F29</f>
        <v>977312.4491000002</v>
      </c>
      <c r="AB10" s="1061">
        <f>AB9*'Operating Stats'!$F30</f>
        <v>488656.2245500001</v>
      </c>
      <c r="AC10" s="1061">
        <f>AC9*'Operating Stats'!$F31</f>
        <v>488656.2245500001</v>
      </c>
      <c r="AD10" s="1061">
        <f>AD9*'Operating Stats'!$F32</f>
        <v>502459.75</v>
      </c>
      <c r="AE10" s="1061">
        <f>AE9*'Operating Stats'!$F33</f>
        <v>100491.95</v>
      </c>
      <c r="AF10" s="1061">
        <f>AF9*'Operating Stats'!$F34</f>
        <v>241180.68</v>
      </c>
      <c r="AH10" s="1061">
        <f>SUM(J10:AG10)</f>
        <v>20857949.642106313</v>
      </c>
      <c r="AK10" s="1059"/>
    </row>
    <row r="11" spans="3:42" ht="17.399999999999999" customHeight="1" x14ac:dyDescent="0.4">
      <c r="C11" s="1093"/>
      <c r="H11" s="1056" t="s">
        <v>682</v>
      </c>
      <c r="I11" s="1088"/>
      <c r="J11" s="1068"/>
      <c r="K11" s="1068"/>
      <c r="L11" s="1092"/>
      <c r="M11" s="1068"/>
      <c r="N11" s="1068"/>
      <c r="O11" s="1068"/>
      <c r="P11" s="1068"/>
      <c r="Q11" s="1068"/>
      <c r="R11" s="1068"/>
      <c r="S11" s="1068"/>
      <c r="T11" s="1068"/>
      <c r="U11" s="1068"/>
      <c r="V11" s="1068"/>
      <c r="W11" s="1068"/>
      <c r="X11" s="1068"/>
      <c r="Y11" s="1068"/>
      <c r="Z11" s="1068"/>
      <c r="AA11" s="1068"/>
      <c r="AB11" s="1068"/>
      <c r="AC11" s="1068"/>
      <c r="AD11" s="1068"/>
      <c r="AE11" s="1068"/>
      <c r="AF11" s="1068"/>
      <c r="AK11" s="1059"/>
    </row>
    <row r="12" spans="3:42" x14ac:dyDescent="0.3">
      <c r="C12" s="1094" t="s">
        <v>612</v>
      </c>
      <c r="D12" s="1069">
        <f>'FTA Allocation Split (26-27)'!G34</f>
        <v>1569548.0510082091</v>
      </c>
      <c r="E12" s="1069">
        <f>'FTA Allocation Split (26-27)'!G35</f>
        <v>1653136.466491791</v>
      </c>
      <c r="F12" s="1061"/>
      <c r="G12" s="1061"/>
      <c r="H12" s="1061"/>
      <c r="J12" s="1107">
        <f>$D$12*'Revenue %s'!F3</f>
        <v>0</v>
      </c>
      <c r="K12" s="1107">
        <f>$D$12*'Revenue %s'!G3</f>
        <v>0</v>
      </c>
      <c r="L12" s="1106">
        <f>$D$12*'Revenue %s'!H3</f>
        <v>66382.207359909691</v>
      </c>
      <c r="M12" s="1106">
        <f>$D$12*'Revenue %s'!I3</f>
        <v>808336.75816766685</v>
      </c>
      <c r="N12" s="1106">
        <f>$D$12*'Revenue %s'!J3</f>
        <v>317804.00646409916</v>
      </c>
      <c r="O12" s="1106">
        <f>$D$12*'Revenue %s'!K3</f>
        <v>9654.4873741080355</v>
      </c>
      <c r="P12" s="1106">
        <f>$D$12*'Revenue %s'!L3</f>
        <v>367370.59164242569</v>
      </c>
      <c r="Q12" s="1106">
        <f>$D$12*'Revenue %s'!M3</f>
        <v>0</v>
      </c>
      <c r="R12" s="1106">
        <f>$D$12*'Revenue %s'!N3</f>
        <v>0</v>
      </c>
      <c r="S12" s="1106">
        <f>$D$12*'Revenue %s'!O3</f>
        <v>0</v>
      </c>
      <c r="T12" s="1106">
        <f>$D$12*'Revenue %s'!P3</f>
        <v>0</v>
      </c>
      <c r="U12" s="1071">
        <f>$E$12*'Revenue %s'!Q3</f>
        <v>457463.66070298135</v>
      </c>
      <c r="V12" s="1071">
        <f>$E$12*'Revenue %s'!R3</f>
        <v>283585.13651093043</v>
      </c>
      <c r="W12" s="1071">
        <f>$E$12*'Revenue %s'!S3</f>
        <v>286596.81570945121</v>
      </c>
      <c r="X12" s="1071">
        <f>$E$12*'Revenue %s'!T3</f>
        <v>101599.49980317788</v>
      </c>
      <c r="Y12" s="1071">
        <f>$E$12*'Revenue %s'!U3</f>
        <v>66427.693062268692</v>
      </c>
      <c r="Z12" s="1071">
        <f>$E$12*'Revenue %s'!V3</f>
        <v>0</v>
      </c>
      <c r="AA12" s="1071">
        <f>$E$12*'Revenue %s'!W3</f>
        <v>0</v>
      </c>
      <c r="AB12" s="1071">
        <f>$E$12*'Revenue %s'!X3</f>
        <v>0</v>
      </c>
      <c r="AC12" s="1071">
        <f>$E$12*'Revenue %s'!Y3</f>
        <v>0</v>
      </c>
      <c r="AD12" s="1071"/>
      <c r="AE12" s="1071"/>
      <c r="AF12" s="1071"/>
      <c r="AG12" s="1071"/>
      <c r="AH12" s="1061">
        <f>SUM(J12:P12)</f>
        <v>1569548.0510082094</v>
      </c>
      <c r="AI12" s="1056" t="s">
        <v>566</v>
      </c>
    </row>
    <row r="13" spans="3:42" x14ac:dyDescent="0.3">
      <c r="C13" s="1094" t="s">
        <v>613</v>
      </c>
      <c r="D13" s="1061">
        <v>596121</v>
      </c>
      <c r="E13" s="1061">
        <v>0</v>
      </c>
      <c r="F13" s="1061"/>
      <c r="G13" s="1061"/>
      <c r="H13" s="1061"/>
      <c r="J13" s="1107">
        <f>$D$13*'Revenue %s'!F4</f>
        <v>0</v>
      </c>
      <c r="K13" s="1107">
        <f>$D$13*'Revenue %s'!G4</f>
        <v>0</v>
      </c>
      <c r="L13" s="1106">
        <f>$D$13*'Revenue %s'!H4</f>
        <v>0</v>
      </c>
      <c r="M13" s="1106">
        <f>$D$13*'Revenue %s'!I4</f>
        <v>219445.254762</v>
      </c>
      <c r="N13" s="1106">
        <f>$D$13*'Revenue %s'!J4</f>
        <v>176333.78404200001</v>
      </c>
      <c r="O13" s="1106">
        <f>$D$13*'Revenue %s'!K4</f>
        <v>0</v>
      </c>
      <c r="P13" s="1106">
        <f>$D$13*'Revenue %s'!L4</f>
        <v>200341.96119599999</v>
      </c>
      <c r="Q13" s="1106">
        <f>$D$13*'Revenue %s'!M4</f>
        <v>0</v>
      </c>
      <c r="R13" s="1106">
        <f>$D$13*'Revenue %s'!N4</f>
        <v>0</v>
      </c>
      <c r="S13" s="1106">
        <f>$D$13*'Revenue %s'!O4</f>
        <v>0</v>
      </c>
      <c r="T13" s="1106">
        <f>$D$13*'Revenue %s'!P4</f>
        <v>0</v>
      </c>
      <c r="U13" s="1071"/>
      <c r="V13" s="1071"/>
      <c r="W13" s="1071"/>
      <c r="X13" s="1071"/>
      <c r="Y13" s="1071"/>
      <c r="Z13" s="1071"/>
      <c r="AA13" s="1071"/>
      <c r="AB13" s="1071"/>
      <c r="AC13" s="1071"/>
      <c r="AD13" s="1071"/>
      <c r="AE13" s="1071"/>
      <c r="AF13" s="1071"/>
      <c r="AG13" s="1071"/>
      <c r="AH13" s="1061"/>
    </row>
    <row r="14" spans="3:42" x14ac:dyDescent="0.3">
      <c r="C14" s="1094" t="s">
        <v>614</v>
      </c>
      <c r="D14" s="1061">
        <v>946281.94899179088</v>
      </c>
      <c r="E14" s="1061">
        <v>0</v>
      </c>
      <c r="F14" s="1061"/>
      <c r="G14" s="1061"/>
      <c r="H14" s="1061"/>
      <c r="J14" s="1107">
        <f>$D$14*'Revenue %s'!F5</f>
        <v>0</v>
      </c>
      <c r="K14" s="1107">
        <f>$D$14*'Revenue %s'!G5</f>
        <v>0</v>
      </c>
      <c r="L14" s="1106">
        <f>$D$14*'Revenue %s'!H5</f>
        <v>0</v>
      </c>
      <c r="M14" s="1106">
        <f>$D$14*'Revenue %s'!I5</f>
        <v>348347.20362675603</v>
      </c>
      <c r="N14" s="1106">
        <f>$D$14*'Revenue %s'!J5</f>
        <v>279912.09307566972</v>
      </c>
      <c r="O14" s="1106">
        <f>$D$14*'Revenue %s'!K5</f>
        <v>0</v>
      </c>
      <c r="P14" s="1106">
        <f>$D$14*'Revenue %s'!L5</f>
        <v>318022.65228936513</v>
      </c>
      <c r="Q14" s="1106">
        <f>$D$14*'Revenue %s'!M5</f>
        <v>0</v>
      </c>
      <c r="R14" s="1106">
        <f>$D$14*'Revenue %s'!N5</f>
        <v>0</v>
      </c>
      <c r="S14" s="1106">
        <f>$D$14*'Revenue %s'!O5</f>
        <v>0</v>
      </c>
      <c r="T14" s="1106">
        <f>$D$14*'Revenue %s'!P5</f>
        <v>0</v>
      </c>
      <c r="U14" s="1071"/>
      <c r="V14" s="1071"/>
      <c r="W14" s="1071"/>
      <c r="X14" s="1071"/>
      <c r="Y14" s="1071"/>
      <c r="Z14" s="1071"/>
      <c r="AA14" s="1071"/>
      <c r="AB14" s="1071"/>
      <c r="AC14" s="1071"/>
      <c r="AD14" s="1071"/>
      <c r="AE14" s="1071"/>
      <c r="AF14" s="1071"/>
      <c r="AG14" s="1071"/>
      <c r="AH14" s="1061"/>
    </row>
    <row r="15" spans="3:42" x14ac:dyDescent="0.3">
      <c r="C15" s="1095" t="s">
        <v>622</v>
      </c>
      <c r="D15" s="1061">
        <v>1798577</v>
      </c>
      <c r="E15" s="1061">
        <v>0</v>
      </c>
      <c r="F15" s="1061"/>
      <c r="G15" s="1061"/>
      <c r="H15" s="1061">
        <f>D15-(SUM(J15:AG15))</f>
        <v>0</v>
      </c>
      <c r="J15" s="1106">
        <f>$D$15*'Revenue %s'!F6</f>
        <v>610098.86715154978</v>
      </c>
      <c r="K15" s="1106">
        <f>$D$15*'Revenue %s'!G6</f>
        <v>1188478.1328484502</v>
      </c>
      <c r="L15" s="1107">
        <f>$D$15*'Revenue %s'!H6</f>
        <v>0</v>
      </c>
      <c r="M15" s="1107">
        <f>$D$15*'Revenue %s'!I6</f>
        <v>0</v>
      </c>
      <c r="N15" s="1107">
        <f>$D$15*'Revenue %s'!J6</f>
        <v>0</v>
      </c>
      <c r="O15" s="1107">
        <f>$D$15*'Revenue %s'!K6</f>
        <v>0</v>
      </c>
      <c r="P15" s="1107">
        <f>$D$15*'Revenue %s'!L6</f>
        <v>0</v>
      </c>
      <c r="Q15" s="1107">
        <f>$D$15*'Revenue %s'!M6</f>
        <v>0</v>
      </c>
      <c r="R15" s="1106">
        <f>$D$15*'Revenue %s'!N6</f>
        <v>0</v>
      </c>
      <c r="S15" s="1106">
        <f>$D$15*'Revenue %s'!O6</f>
        <v>0</v>
      </c>
      <c r="T15" s="1106">
        <f>$D$15*'Revenue %s'!P6</f>
        <v>0</v>
      </c>
      <c r="U15" s="1071"/>
      <c r="V15" s="1071"/>
      <c r="W15" s="1071"/>
      <c r="X15" s="1071"/>
      <c r="Y15" s="1071"/>
      <c r="Z15" s="1071"/>
      <c r="AA15" s="1071"/>
      <c r="AB15" s="1071"/>
      <c r="AC15" s="1071"/>
      <c r="AD15" s="1071"/>
      <c r="AE15" s="1071"/>
      <c r="AF15" s="1071"/>
      <c r="AG15" s="1071"/>
      <c r="AH15" s="1061">
        <f>SUM(J15:O15)</f>
        <v>1798577</v>
      </c>
      <c r="AI15" s="1056" t="s">
        <v>567</v>
      </c>
    </row>
    <row r="16" spans="3:42" x14ac:dyDescent="0.3">
      <c r="C16" s="1095" t="s">
        <v>621</v>
      </c>
      <c r="D16" s="1061"/>
      <c r="E16" s="1061">
        <v>290000</v>
      </c>
      <c r="F16" s="1061"/>
      <c r="G16" s="1061"/>
      <c r="H16" s="1061"/>
      <c r="J16" s="1062"/>
      <c r="K16" s="1062"/>
      <c r="L16" s="1062"/>
      <c r="M16" s="1062"/>
      <c r="N16" s="1062"/>
      <c r="O16" s="1062"/>
      <c r="P16" s="1062"/>
      <c r="Q16" s="1062"/>
      <c r="R16" s="1071"/>
      <c r="S16" s="1071"/>
      <c r="T16" s="1071"/>
      <c r="U16" s="1071"/>
      <c r="V16" s="1071"/>
      <c r="W16" s="1071"/>
      <c r="X16" s="1071"/>
      <c r="Y16" s="1071"/>
      <c r="Z16" s="1071"/>
      <c r="AA16" s="1071"/>
      <c r="AB16" s="1071"/>
      <c r="AC16" s="1071"/>
      <c r="AD16" s="1071"/>
      <c r="AE16" s="1071"/>
      <c r="AF16" s="1071"/>
      <c r="AG16" s="1071"/>
      <c r="AH16" s="1061"/>
    </row>
    <row r="17" spans="3:36" x14ac:dyDescent="0.3">
      <c r="C17" s="1054" t="s">
        <v>389</v>
      </c>
      <c r="D17" s="1069">
        <f>'FTA Allocation Split (26-27)'!J34</f>
        <v>0</v>
      </c>
      <c r="E17" s="1069">
        <f>'FTA Allocation Split (26-27)'!J35</f>
        <v>75224.800000000003</v>
      </c>
      <c r="F17" s="1061"/>
      <c r="G17" s="1061"/>
      <c r="H17" s="1061"/>
      <c r="J17" s="1062"/>
      <c r="K17" s="1062"/>
      <c r="L17" s="1062"/>
      <c r="M17" s="1062"/>
      <c r="N17" s="1062"/>
      <c r="O17" s="1062"/>
      <c r="P17" s="1106">
        <f>$D$17*'Revenue %s'!L8</f>
        <v>0</v>
      </c>
      <c r="Q17" s="1062"/>
      <c r="R17" s="1071"/>
      <c r="S17" s="1071"/>
      <c r="T17" s="1071"/>
      <c r="U17" s="1071"/>
      <c r="V17" s="1071"/>
      <c r="W17" s="1071"/>
      <c r="X17" s="1071"/>
      <c r="Y17" s="1071"/>
      <c r="Z17" s="1071"/>
      <c r="AA17" s="1071"/>
      <c r="AB17" s="1071"/>
      <c r="AC17" s="1071"/>
      <c r="AD17" s="1071"/>
      <c r="AE17" s="1071"/>
      <c r="AF17" s="1071"/>
      <c r="AG17" s="1071"/>
      <c r="AH17" s="1061">
        <f>SUM(J17:O17)</f>
        <v>0</v>
      </c>
      <c r="AI17" s="1056" t="s">
        <v>568</v>
      </c>
    </row>
    <row r="18" spans="3:36" x14ac:dyDescent="0.3">
      <c r="C18" s="1054" t="s">
        <v>615</v>
      </c>
      <c r="D18" s="1061">
        <v>30277</v>
      </c>
      <c r="E18" s="1061"/>
      <c r="F18" s="1061"/>
      <c r="G18" s="1061"/>
      <c r="H18" s="1061"/>
      <c r="J18" s="1062"/>
      <c r="K18" s="1062"/>
      <c r="L18" s="1062"/>
      <c r="M18" s="1062"/>
      <c r="N18" s="1062"/>
      <c r="O18" s="1062"/>
      <c r="P18" s="1106">
        <f>$D$18*'Revenue %s'!L9</f>
        <v>30277</v>
      </c>
      <c r="Q18" s="1062"/>
      <c r="R18" s="1071"/>
      <c r="S18" s="1071"/>
      <c r="T18" s="1071"/>
      <c r="U18" s="1071"/>
      <c r="V18" s="1071"/>
      <c r="W18" s="1071"/>
      <c r="X18" s="1071"/>
      <c r="Y18" s="1071"/>
      <c r="Z18" s="1071"/>
      <c r="AA18" s="1071"/>
      <c r="AB18" s="1071"/>
      <c r="AC18" s="1071"/>
      <c r="AD18" s="1071"/>
      <c r="AE18" s="1071"/>
      <c r="AF18" s="1071"/>
      <c r="AG18" s="1071"/>
      <c r="AH18" s="1061"/>
    </row>
    <row r="19" spans="3:36" x14ac:dyDescent="0.3">
      <c r="C19" s="1054" t="s">
        <v>618</v>
      </c>
      <c r="D19" s="1061">
        <v>615042.32718290994</v>
      </c>
      <c r="E19" s="1061">
        <v>913053</v>
      </c>
      <c r="F19" s="1061"/>
      <c r="G19" s="1061"/>
      <c r="H19" s="1061"/>
      <c r="J19" s="1091"/>
      <c r="K19" s="1091"/>
      <c r="L19" s="1091"/>
      <c r="M19" s="1091"/>
      <c r="N19" s="1091"/>
      <c r="O19" s="1091"/>
      <c r="P19" s="1091"/>
      <c r="Q19" s="1063"/>
      <c r="R19" s="1071"/>
      <c r="S19" s="1071"/>
      <c r="T19" s="1071"/>
      <c r="U19" s="1071"/>
      <c r="V19" s="1071"/>
      <c r="W19" s="1071"/>
      <c r="X19" s="1071"/>
      <c r="Y19" s="1071"/>
      <c r="Z19" s="1071"/>
      <c r="AA19" s="1071"/>
      <c r="AB19" s="1071"/>
      <c r="AC19" s="1071"/>
      <c r="AD19" s="1071"/>
      <c r="AE19" s="1071"/>
      <c r="AF19" s="1071"/>
      <c r="AG19" s="1071"/>
      <c r="AH19" s="1061">
        <f>SUM(J19:O19)</f>
        <v>0</v>
      </c>
      <c r="AI19" s="1056" t="s">
        <v>569</v>
      </c>
    </row>
    <row r="20" spans="3:36" x14ac:dyDescent="0.3">
      <c r="C20" s="1054" t="s">
        <v>620</v>
      </c>
      <c r="D20" s="1061"/>
      <c r="E20" s="1061">
        <v>1675000</v>
      </c>
      <c r="F20" s="1061"/>
      <c r="G20" s="1061"/>
      <c r="H20" s="1061"/>
      <c r="J20" s="1063"/>
      <c r="K20" s="1063"/>
      <c r="L20" s="1063"/>
      <c r="M20" s="1063"/>
      <c r="N20" s="1063"/>
      <c r="O20" s="1063"/>
      <c r="P20" s="1063"/>
      <c r="Q20" s="1063"/>
      <c r="R20" s="1071"/>
      <c r="S20" s="1071"/>
      <c r="T20" s="1071"/>
      <c r="U20" s="1071"/>
      <c r="V20" s="1071"/>
      <c r="W20" s="1071"/>
      <c r="X20" s="1071"/>
      <c r="Y20" s="1071"/>
      <c r="Z20" s="1071"/>
      <c r="AA20" s="1071"/>
      <c r="AB20" s="1071"/>
      <c r="AC20" s="1071"/>
      <c r="AD20" s="1071"/>
      <c r="AE20" s="1071"/>
      <c r="AF20" s="1071"/>
      <c r="AG20" s="1071"/>
      <c r="AH20" s="1061"/>
      <c r="AI20" s="1064"/>
    </row>
    <row r="21" spans="3:36" x14ac:dyDescent="0.3">
      <c r="C21" s="1054" t="s">
        <v>619</v>
      </c>
      <c r="D21" s="1061">
        <v>1230084.6543658199</v>
      </c>
      <c r="E21" s="1061">
        <v>510729</v>
      </c>
      <c r="F21" s="1061"/>
      <c r="G21" s="1061"/>
      <c r="H21" s="1061"/>
      <c r="J21" s="1063"/>
      <c r="K21" s="1063"/>
      <c r="L21" s="1063"/>
      <c r="M21" s="1063"/>
      <c r="N21" s="1063"/>
      <c r="O21" s="1063"/>
      <c r="P21" s="1063"/>
      <c r="Q21" s="1063"/>
      <c r="R21" s="1071"/>
      <c r="S21" s="1071"/>
      <c r="T21" s="1071"/>
      <c r="U21" s="1071"/>
      <c r="V21" s="1071"/>
      <c r="W21" s="1071"/>
      <c r="X21" s="1071"/>
      <c r="Y21" s="1071"/>
      <c r="Z21" s="1071"/>
      <c r="AA21" s="1071"/>
      <c r="AB21" s="1071"/>
      <c r="AC21" s="1071"/>
      <c r="AD21" s="1071"/>
      <c r="AE21" s="1071"/>
      <c r="AF21" s="1071"/>
      <c r="AG21" s="1071"/>
      <c r="AH21" s="1061">
        <f>SUM(J21:O21)</f>
        <v>0</v>
      </c>
      <c r="AI21" s="1064" t="s">
        <v>570</v>
      </c>
    </row>
    <row r="22" spans="3:36" x14ac:dyDescent="0.3">
      <c r="C22" s="1054" t="s">
        <v>623</v>
      </c>
      <c r="D22" s="1061"/>
      <c r="E22" s="1061">
        <v>308898</v>
      </c>
      <c r="F22" s="1061"/>
      <c r="G22" s="1061"/>
      <c r="H22" s="1061"/>
      <c r="J22" s="1063"/>
      <c r="K22" s="1063"/>
      <c r="L22" s="1063"/>
      <c r="M22" s="1063"/>
      <c r="N22" s="1063"/>
      <c r="O22" s="1063"/>
      <c r="P22" s="1063"/>
      <c r="Q22" s="1063"/>
      <c r="R22" s="1071"/>
      <c r="S22" s="1071"/>
      <c r="T22" s="1071"/>
      <c r="U22" s="1071"/>
      <c r="V22" s="1071"/>
      <c r="W22" s="1071"/>
      <c r="X22" s="1071"/>
      <c r="Y22" s="1071"/>
      <c r="Z22" s="1071"/>
      <c r="AA22" s="1071"/>
      <c r="AB22" s="1071"/>
      <c r="AC22" s="1071"/>
      <c r="AD22" s="1071"/>
      <c r="AE22" s="1071"/>
      <c r="AF22" s="1071"/>
      <c r="AG22" s="1071"/>
      <c r="AH22" s="1061"/>
      <c r="AI22" s="1064"/>
    </row>
    <row r="23" spans="3:36" x14ac:dyDescent="0.3">
      <c r="C23" s="1054" t="s">
        <v>624</v>
      </c>
      <c r="D23" s="1061"/>
      <c r="E23" s="1061">
        <v>100084</v>
      </c>
      <c r="F23" s="1061"/>
      <c r="G23" s="1061"/>
      <c r="H23" s="1061"/>
      <c r="J23" s="1063"/>
      <c r="K23" s="1063"/>
      <c r="L23" s="1063"/>
      <c r="M23" s="1063"/>
      <c r="N23" s="1063"/>
      <c r="O23" s="1063"/>
      <c r="P23" s="1063"/>
      <c r="Q23" s="1063"/>
      <c r="R23" s="1071"/>
      <c r="S23" s="1071"/>
      <c r="T23" s="1071"/>
      <c r="U23" s="1071"/>
      <c r="V23" s="1071"/>
      <c r="W23" s="1071"/>
      <c r="X23" s="1071"/>
      <c r="Y23" s="1071"/>
      <c r="Z23" s="1071"/>
      <c r="AA23" s="1071"/>
      <c r="AB23" s="1071"/>
      <c r="AC23" s="1071"/>
      <c r="AD23" s="1071"/>
      <c r="AE23" s="1071"/>
      <c r="AF23" s="1071"/>
      <c r="AG23" s="1071"/>
      <c r="AH23" s="1061"/>
      <c r="AI23" s="1064"/>
    </row>
    <row r="24" spans="3:36" x14ac:dyDescent="0.3">
      <c r="C24" s="1054" t="s">
        <v>571</v>
      </c>
      <c r="D24" s="1061">
        <v>265506</v>
      </c>
      <c r="E24" s="1061"/>
      <c r="F24" s="1061"/>
      <c r="G24" s="1061"/>
      <c r="H24" s="1061"/>
      <c r="J24" s="1063"/>
      <c r="K24" s="1063"/>
      <c r="L24" s="1063"/>
      <c r="M24" s="1063"/>
      <c r="N24" s="1063"/>
      <c r="O24" s="1063"/>
      <c r="P24" s="1063"/>
      <c r="Q24" s="1063"/>
      <c r="R24" s="1071"/>
      <c r="S24" s="1071"/>
      <c r="T24" s="1071"/>
      <c r="U24" s="1071"/>
      <c r="V24" s="1071"/>
      <c r="W24" s="1071"/>
      <c r="X24" s="1071"/>
      <c r="Y24" s="1071"/>
      <c r="Z24" s="1071"/>
      <c r="AA24" s="1071"/>
      <c r="AB24" s="1071"/>
      <c r="AC24" s="1071"/>
      <c r="AD24" s="1071"/>
      <c r="AE24" s="1071"/>
      <c r="AF24" s="1071"/>
      <c r="AG24" s="1071"/>
      <c r="AH24" s="1061">
        <f>SUM(J24:O24)</f>
        <v>0</v>
      </c>
    </row>
    <row r="25" spans="3:36" x14ac:dyDescent="0.3">
      <c r="C25" s="1054" t="s">
        <v>572</v>
      </c>
      <c r="D25" s="1061">
        <v>8000</v>
      </c>
      <c r="E25" s="1061"/>
      <c r="F25" s="1061"/>
      <c r="G25" s="1061"/>
      <c r="H25" s="1061"/>
      <c r="J25" s="1063"/>
      <c r="K25" s="1063"/>
      <c r="L25" s="1063"/>
      <c r="M25" s="1063"/>
      <c r="N25" s="1063"/>
      <c r="O25" s="1063"/>
      <c r="P25" s="1063"/>
      <c r="Q25" s="1063"/>
      <c r="R25" s="1071"/>
      <c r="S25" s="1071"/>
      <c r="T25" s="1071"/>
      <c r="U25" s="1071"/>
      <c r="V25" s="1071"/>
      <c r="W25" s="1071"/>
      <c r="X25" s="1071"/>
      <c r="Y25" s="1071"/>
      <c r="Z25" s="1071"/>
      <c r="AA25" s="1071"/>
      <c r="AB25" s="1071"/>
      <c r="AC25" s="1071"/>
      <c r="AD25" s="1071"/>
      <c r="AE25" s="1071"/>
      <c r="AF25" s="1071"/>
      <c r="AG25" s="1071"/>
      <c r="AH25" s="1061">
        <f>SUM(J25:O25)</f>
        <v>0</v>
      </c>
    </row>
    <row r="26" spans="3:36" x14ac:dyDescent="0.3">
      <c r="C26" s="1054" t="s">
        <v>251</v>
      </c>
      <c r="D26" s="1061">
        <v>825000</v>
      </c>
      <c r="E26" s="1061"/>
      <c r="F26" s="1061">
        <v>750000</v>
      </c>
      <c r="G26" s="1061"/>
      <c r="H26" s="1061"/>
      <c r="J26" s="1106">
        <f>$D$26*'Revenue %s'!F17</f>
        <v>0</v>
      </c>
      <c r="K26" s="1106">
        <f>$D$26*'Revenue %s'!G17</f>
        <v>0</v>
      </c>
      <c r="L26" s="1106">
        <f>$D$26*'Revenue %s'!H17</f>
        <v>0</v>
      </c>
      <c r="M26" s="1106">
        <f>$D$26*'Revenue %s'!I17</f>
        <v>433818.46199999994</v>
      </c>
      <c r="N26" s="1106">
        <f>$D$26*'Revenue %s'!J17</f>
        <v>350554.72650000005</v>
      </c>
      <c r="O26" s="1106">
        <f>$D$26*'Revenue %s'!K17</f>
        <v>40626.811500000011</v>
      </c>
      <c r="P26" s="1106">
        <f>$D$26*'Revenue %s'!L17</f>
        <v>0</v>
      </c>
      <c r="Q26" s="1106">
        <f>$D$26*'Revenue %s'!M17</f>
        <v>0</v>
      </c>
      <c r="R26" s="1106">
        <f>$D$26*'Revenue %s'!N17</f>
        <v>0</v>
      </c>
      <c r="S26" s="1106">
        <f>$D$26*'Revenue %s'!O17</f>
        <v>0</v>
      </c>
      <c r="T26" s="1106">
        <f>$D$26*'Revenue %s'!P17</f>
        <v>0</v>
      </c>
      <c r="U26" s="1071"/>
      <c r="V26" s="1071"/>
      <c r="W26" s="1071"/>
      <c r="X26" s="1071"/>
      <c r="Y26" s="1071"/>
      <c r="Z26" s="1071"/>
      <c r="AA26" s="1071"/>
      <c r="AB26" s="1071"/>
      <c r="AC26" s="1071"/>
      <c r="AD26" s="1071"/>
      <c r="AE26" s="1071"/>
      <c r="AF26" s="1071"/>
      <c r="AG26" s="1071"/>
      <c r="AH26" s="1061">
        <f>SUM(J26:P26)</f>
        <v>825000</v>
      </c>
    </row>
    <row r="27" spans="3:36" x14ac:dyDescent="0.3">
      <c r="C27" s="1054" t="s">
        <v>573</v>
      </c>
      <c r="D27" s="1061">
        <v>85000</v>
      </c>
      <c r="E27" s="1061"/>
      <c r="F27" s="1061"/>
      <c r="G27" s="1061"/>
      <c r="H27" s="1061"/>
      <c r="J27" s="1106">
        <f>$D$27*'Revenue %s'!F18</f>
        <v>0</v>
      </c>
      <c r="K27" s="1106">
        <f>$D$27*'Revenue %s'!G18</f>
        <v>0</v>
      </c>
      <c r="L27" s="1106">
        <f>$D$27*'Revenue %s'!H18</f>
        <v>85000</v>
      </c>
      <c r="M27" s="1106">
        <f>$D$27*'Revenue %s'!I18</f>
        <v>0</v>
      </c>
      <c r="N27" s="1106">
        <f>$D$27*'Revenue %s'!J18</f>
        <v>0</v>
      </c>
      <c r="O27" s="1106">
        <f>$D$27*'Revenue %s'!K18</f>
        <v>0</v>
      </c>
      <c r="P27" s="1106">
        <f>$D$27*'Revenue %s'!L18</f>
        <v>0</v>
      </c>
      <c r="Q27" s="1106">
        <f>$D$27*'Revenue %s'!M18</f>
        <v>0</v>
      </c>
      <c r="R27" s="1106">
        <f>$D$27*'Revenue %s'!N18</f>
        <v>0</v>
      </c>
      <c r="S27" s="1106">
        <f>$D$27*'Revenue %s'!O18</f>
        <v>0</v>
      </c>
      <c r="T27" s="1106">
        <f>$D$27*'Revenue %s'!P18</f>
        <v>0</v>
      </c>
      <c r="U27" s="1071"/>
      <c r="V27" s="1071"/>
      <c r="W27" s="1071"/>
      <c r="X27" s="1071"/>
      <c r="Y27" s="1071"/>
      <c r="Z27" s="1071"/>
      <c r="AA27" s="1071"/>
      <c r="AB27" s="1071"/>
      <c r="AC27" s="1071"/>
      <c r="AD27" s="1071"/>
      <c r="AE27" s="1071"/>
      <c r="AF27" s="1071"/>
      <c r="AG27" s="1071"/>
      <c r="AH27" s="1061">
        <f t="shared" ref="AH27:AH33" si="2">SUM(J27:O27)</f>
        <v>85000</v>
      </c>
    </row>
    <row r="28" spans="3:36" x14ac:dyDescent="0.3">
      <c r="C28" s="1054" t="s">
        <v>574</v>
      </c>
      <c r="D28" s="1061">
        <v>120000</v>
      </c>
      <c r="E28" s="1061"/>
      <c r="F28" s="1061"/>
      <c r="G28" s="1061"/>
      <c r="H28" s="1061"/>
      <c r="J28" s="1106">
        <f>$D$27*'Revenue %s'!F19</f>
        <v>0</v>
      </c>
      <c r="K28" s="1106">
        <f>$D$27*'Revenue %s'!G19</f>
        <v>0</v>
      </c>
      <c r="L28" s="1106">
        <f>$D$27*'Revenue %s'!H19</f>
        <v>0</v>
      </c>
      <c r="M28" s="1106">
        <f>$D$27*'Revenue %s'!I19</f>
        <v>0</v>
      </c>
      <c r="N28" s="1106">
        <f>$D$27*'Revenue %s'!J19</f>
        <v>0</v>
      </c>
      <c r="O28" s="1106">
        <f>$D$27*'Revenue %s'!K19</f>
        <v>85000</v>
      </c>
      <c r="P28" s="1106">
        <f>$D$27*'Revenue %s'!L19</f>
        <v>0</v>
      </c>
      <c r="Q28" s="1106">
        <f>$D$27*'Revenue %s'!M19</f>
        <v>0</v>
      </c>
      <c r="R28" s="1106">
        <f>$D$27*'Revenue %s'!N19</f>
        <v>0</v>
      </c>
      <c r="S28" s="1106">
        <f>$D$27*'Revenue %s'!O19</f>
        <v>0</v>
      </c>
      <c r="T28" s="1106">
        <f>$D$27*'Revenue %s'!P19</f>
        <v>0</v>
      </c>
      <c r="U28" s="1071"/>
      <c r="V28" s="1071"/>
      <c r="W28" s="1071"/>
      <c r="X28" s="1071"/>
      <c r="Y28" s="1071"/>
      <c r="Z28" s="1071"/>
      <c r="AA28" s="1071"/>
      <c r="AB28" s="1071"/>
      <c r="AC28" s="1071"/>
      <c r="AD28" s="1071"/>
      <c r="AE28" s="1071"/>
      <c r="AF28" s="1071"/>
      <c r="AG28" s="1071"/>
      <c r="AH28" s="1061">
        <f t="shared" si="2"/>
        <v>85000</v>
      </c>
    </row>
    <row r="29" spans="3:36" x14ac:dyDescent="0.3">
      <c r="C29" s="1054" t="s">
        <v>449</v>
      </c>
      <c r="D29" s="1061">
        <v>18000</v>
      </c>
      <c r="E29" s="1061"/>
      <c r="F29" s="1061"/>
      <c r="G29" s="1061"/>
      <c r="H29" s="1061"/>
      <c r="J29" s="1106">
        <f>$D$29*'Revenue %s'!F20</f>
        <v>1135.307389397273</v>
      </c>
      <c r="K29" s="1106">
        <f>$D$29*'Revenue %s'!G20</f>
        <v>2224.60516543113</v>
      </c>
      <c r="L29" s="1106">
        <f>$D$29*'Revenue %s'!H20</f>
        <v>601.70686248405957</v>
      </c>
      <c r="M29" s="1106">
        <f>$D$29*'Revenue %s'!I20</f>
        <v>4751.6024607968156</v>
      </c>
      <c r="N29" s="1106">
        <f>$D$29*'Revenue %s'!J20</f>
        <v>4697.9245785394978</v>
      </c>
      <c r="O29" s="1106">
        <f>$D$29*'Revenue %s'!K20</f>
        <v>84.250059558009497</v>
      </c>
      <c r="P29" s="1106">
        <f>$D$29*'Revenue %s'!L20</f>
        <v>2738.8836726972072</v>
      </c>
      <c r="Q29" s="1106">
        <f>$D$29*'Revenue %s'!M20</f>
        <v>0</v>
      </c>
      <c r="R29" s="1106">
        <f>$D$29*'Revenue %s'!N20</f>
        <v>0</v>
      </c>
      <c r="S29" s="1106">
        <f>$D$29*'Revenue %s'!O20</f>
        <v>0</v>
      </c>
      <c r="T29" s="1106">
        <f>$D$29*'Revenue %s'!P20</f>
        <v>0</v>
      </c>
      <c r="U29" s="1071"/>
      <c r="V29" s="1071"/>
      <c r="W29" s="1071"/>
      <c r="X29" s="1071"/>
      <c r="Y29" s="1071"/>
      <c r="Z29" s="1071"/>
      <c r="AA29" s="1071"/>
      <c r="AB29" s="1071"/>
      <c r="AC29" s="1071"/>
      <c r="AD29" s="1071"/>
      <c r="AE29" s="1071"/>
      <c r="AF29" s="1071"/>
      <c r="AG29" s="1071"/>
      <c r="AH29" s="1061">
        <f t="shared" si="2"/>
        <v>13495.396516206785</v>
      </c>
    </row>
    <row r="30" spans="3:36" x14ac:dyDescent="0.3">
      <c r="C30" s="1054" t="s">
        <v>575</v>
      </c>
      <c r="D30" s="1061">
        <v>8322</v>
      </c>
      <c r="E30" s="1061"/>
      <c r="F30" s="1061"/>
      <c r="G30" s="1061"/>
      <c r="H30" s="1061"/>
      <c r="J30" s="1106">
        <f>$D$30*'Revenue %s'!F21</f>
        <v>0</v>
      </c>
      <c r="K30" s="1106">
        <f>$D$30*'Revenue %s'!G21</f>
        <v>0</v>
      </c>
      <c r="L30" s="1106">
        <f>$D$30*'Revenue %s'!H21</f>
        <v>0</v>
      </c>
      <c r="M30" s="1106">
        <f>$D$30*'Revenue %s'!I21</f>
        <v>0</v>
      </c>
      <c r="N30" s="1106">
        <f>$D$30*'Revenue %s'!J21</f>
        <v>0</v>
      </c>
      <c r="O30" s="1106">
        <f>$D$30*'Revenue %s'!K21</f>
        <v>0</v>
      </c>
      <c r="P30" s="1106">
        <f>$D$30*'Revenue %s'!L21</f>
        <v>0</v>
      </c>
      <c r="Q30" s="1106">
        <f>$D$30*'Revenue %s'!M21</f>
        <v>8322</v>
      </c>
      <c r="R30" s="1106">
        <f>$D$30*'Revenue %s'!N21</f>
        <v>0</v>
      </c>
      <c r="S30" s="1106">
        <f>$D$30*'Revenue %s'!O21</f>
        <v>0</v>
      </c>
      <c r="T30" s="1106">
        <f>$D$30*'Revenue %s'!P21</f>
        <v>0</v>
      </c>
      <c r="U30" s="1071"/>
      <c r="V30" s="1071"/>
      <c r="W30" s="1071"/>
      <c r="X30" s="1071"/>
      <c r="Y30" s="1071"/>
      <c r="Z30" s="1071"/>
      <c r="AA30" s="1071"/>
      <c r="AB30" s="1071"/>
      <c r="AC30" s="1071"/>
      <c r="AD30" s="1071"/>
      <c r="AE30" s="1071"/>
      <c r="AF30" s="1071"/>
      <c r="AG30" s="1071"/>
      <c r="AH30" s="1061">
        <f t="shared" si="2"/>
        <v>0</v>
      </c>
      <c r="AJ30" s="1056" t="s">
        <v>576</v>
      </c>
    </row>
    <row r="31" spans="3:36" x14ac:dyDescent="0.3">
      <c r="C31" s="1054" t="s">
        <v>577</v>
      </c>
      <c r="D31" s="1061">
        <v>271910</v>
      </c>
      <c r="E31" s="1061"/>
      <c r="F31" s="1061"/>
      <c r="G31" s="1061"/>
      <c r="H31" s="1061"/>
      <c r="J31" s="1106">
        <f>$D$31*'Revenue %s'!F22</f>
        <v>0</v>
      </c>
      <c r="K31" s="1106">
        <f>$D$31*'Revenue %s'!G22</f>
        <v>0</v>
      </c>
      <c r="L31" s="1106">
        <f>$D$31*'Revenue %s'!H22</f>
        <v>0</v>
      </c>
      <c r="M31" s="1106">
        <f>$D$31*'Revenue %s'!I22</f>
        <v>0</v>
      </c>
      <c r="N31" s="1106">
        <f>$D$31*'Revenue %s'!J22</f>
        <v>0</v>
      </c>
      <c r="O31" s="1106">
        <f>$D$31*'Revenue %s'!K22</f>
        <v>0</v>
      </c>
      <c r="P31" s="1106">
        <f>$D$31*'Revenue %s'!L22</f>
        <v>0</v>
      </c>
      <c r="Q31" s="1106">
        <f>$D$31*'Revenue %s'!M22</f>
        <v>271910</v>
      </c>
      <c r="R31" s="1106">
        <f>$D$31*'Revenue %s'!N22</f>
        <v>0</v>
      </c>
      <c r="S31" s="1106">
        <f>$D$31*'Revenue %s'!O22</f>
        <v>0</v>
      </c>
      <c r="T31" s="1106">
        <f>$D$31*'Revenue %s'!P22</f>
        <v>0</v>
      </c>
      <c r="U31" s="1071"/>
      <c r="V31" s="1071"/>
      <c r="W31" s="1071"/>
      <c r="X31" s="1071"/>
      <c r="Y31" s="1071"/>
      <c r="Z31" s="1071"/>
      <c r="AA31" s="1071"/>
      <c r="AB31" s="1071"/>
      <c r="AC31" s="1071"/>
      <c r="AD31" s="1071"/>
      <c r="AE31" s="1071"/>
      <c r="AF31" s="1071"/>
      <c r="AG31" s="1071"/>
      <c r="AH31" s="1061">
        <f t="shared" si="2"/>
        <v>0</v>
      </c>
    </row>
    <row r="32" spans="3:36" x14ac:dyDescent="0.3">
      <c r="C32" s="1054" t="s">
        <v>578</v>
      </c>
      <c r="D32" s="1061">
        <v>331240</v>
      </c>
      <c r="E32" s="1061"/>
      <c r="F32" s="1061"/>
      <c r="G32" s="1061"/>
      <c r="H32" s="1061"/>
      <c r="J32" s="1106">
        <f>$D$32*'Revenue %s'!F23</f>
        <v>0</v>
      </c>
      <c r="K32" s="1106">
        <f>$D$32*'Revenue %s'!G23</f>
        <v>0</v>
      </c>
      <c r="L32" s="1106">
        <f>$D$32*'Revenue %s'!H23</f>
        <v>0</v>
      </c>
      <c r="M32" s="1106">
        <f>$D$32*'Revenue %s'!I23</f>
        <v>0</v>
      </c>
      <c r="N32" s="1106">
        <f>$D$32*'Revenue %s'!J23</f>
        <v>0</v>
      </c>
      <c r="O32" s="1106">
        <f>$D$32*'Revenue %s'!K23</f>
        <v>0</v>
      </c>
      <c r="P32" s="1106">
        <f>$D$32*'Revenue %s'!L23</f>
        <v>0</v>
      </c>
      <c r="Q32" s="1106">
        <f>$D$32*'Revenue %s'!M23</f>
        <v>331240</v>
      </c>
      <c r="R32" s="1106">
        <f>$D$32*'Revenue %s'!N23</f>
        <v>0</v>
      </c>
      <c r="S32" s="1106">
        <f>$D$32*'Revenue %s'!O23</f>
        <v>0</v>
      </c>
      <c r="T32" s="1106">
        <f>$D$32*'Revenue %s'!P23</f>
        <v>0</v>
      </c>
      <c r="U32" s="1071"/>
      <c r="V32" s="1071"/>
      <c r="W32" s="1071"/>
      <c r="X32" s="1071"/>
      <c r="Y32" s="1071"/>
      <c r="Z32" s="1071"/>
      <c r="AA32" s="1071"/>
      <c r="AB32" s="1071"/>
      <c r="AC32" s="1071"/>
      <c r="AD32" s="1071"/>
      <c r="AE32" s="1071"/>
      <c r="AF32" s="1071"/>
      <c r="AG32" s="1071"/>
      <c r="AH32" s="1061">
        <f t="shared" si="2"/>
        <v>0</v>
      </c>
    </row>
    <row r="33" spans="3:35" x14ac:dyDescent="0.3">
      <c r="C33" s="1054" t="s">
        <v>579</v>
      </c>
      <c r="D33" s="1061">
        <v>8324</v>
      </c>
      <c r="E33" s="1061"/>
      <c r="F33" s="1061"/>
      <c r="G33" s="1061"/>
      <c r="H33" s="1061"/>
      <c r="J33" s="1106">
        <f>$D$33*'Revenue %s'!F24</f>
        <v>0</v>
      </c>
      <c r="K33" s="1106">
        <f>$D$33*'Revenue %s'!G24</f>
        <v>0</v>
      </c>
      <c r="L33" s="1106">
        <f>$D$33*'Revenue %s'!H24</f>
        <v>0</v>
      </c>
      <c r="M33" s="1106">
        <f>$D$33*'Revenue %s'!I24</f>
        <v>0</v>
      </c>
      <c r="N33" s="1106">
        <f>$D$33*'Revenue %s'!J24</f>
        <v>0</v>
      </c>
      <c r="O33" s="1106">
        <f>$D$33*'Revenue %s'!K24</f>
        <v>0</v>
      </c>
      <c r="P33" s="1106">
        <f>$D$33*'Revenue %s'!L24</f>
        <v>0</v>
      </c>
      <c r="Q33" s="1106">
        <f>$D$33*'Revenue %s'!M24</f>
        <v>8324</v>
      </c>
      <c r="R33" s="1106">
        <f>$D$33*'Revenue %s'!N24</f>
        <v>0</v>
      </c>
      <c r="S33" s="1106">
        <f>$D$33*'Revenue %s'!O24</f>
        <v>0</v>
      </c>
      <c r="T33" s="1106">
        <f>$D$33*'Revenue %s'!P24</f>
        <v>0</v>
      </c>
      <c r="U33" s="1071"/>
      <c r="V33" s="1071"/>
      <c r="W33" s="1071"/>
      <c r="X33" s="1071"/>
      <c r="Y33" s="1071"/>
      <c r="Z33" s="1071"/>
      <c r="AA33" s="1071"/>
      <c r="AB33" s="1071"/>
      <c r="AC33" s="1071"/>
      <c r="AD33" s="1071"/>
      <c r="AE33" s="1071"/>
      <c r="AF33" s="1071"/>
      <c r="AG33" s="1071"/>
      <c r="AH33" s="1061">
        <f t="shared" si="2"/>
        <v>0</v>
      </c>
    </row>
    <row r="34" spans="3:35" x14ac:dyDescent="0.3">
      <c r="C34" s="1054" t="s">
        <v>252</v>
      </c>
      <c r="D34" s="1061"/>
      <c r="E34" s="1070">
        <v>296055</v>
      </c>
      <c r="F34" s="1061"/>
      <c r="G34" s="1061">
        <v>12500</v>
      </c>
      <c r="H34" s="1061"/>
      <c r="J34" s="1071"/>
      <c r="K34" s="1071"/>
      <c r="L34" s="1071"/>
      <c r="M34" s="1071"/>
      <c r="N34" s="1071"/>
      <c r="O34" s="1071"/>
      <c r="P34" s="1071"/>
      <c r="Q34" s="1071"/>
      <c r="R34" s="1071"/>
      <c r="S34" s="1071"/>
      <c r="T34" s="1071"/>
      <c r="U34" s="1071"/>
      <c r="V34" s="1071"/>
      <c r="W34" s="1071"/>
      <c r="X34" s="1071"/>
      <c r="Y34" s="1071"/>
      <c r="Z34" s="1071"/>
      <c r="AA34" s="1071"/>
      <c r="AB34" s="1071"/>
      <c r="AC34" s="1071"/>
      <c r="AD34" s="1071"/>
      <c r="AE34" s="1071"/>
      <c r="AF34" s="1071"/>
      <c r="AG34" s="1071"/>
      <c r="AH34" s="1061"/>
    </row>
    <row r="35" spans="3:35" x14ac:dyDescent="0.3">
      <c r="C35" s="1054" t="s">
        <v>626</v>
      </c>
      <c r="D35" s="1061"/>
      <c r="E35" s="1070"/>
      <c r="F35" s="1061"/>
      <c r="G35" s="1061">
        <v>26417</v>
      </c>
      <c r="H35" s="1061"/>
      <c r="J35" s="1071"/>
      <c r="K35" s="1071"/>
      <c r="L35" s="1071"/>
      <c r="M35" s="1071"/>
      <c r="N35" s="1071"/>
      <c r="O35" s="1071"/>
      <c r="P35" s="1071"/>
      <c r="Q35" s="1071"/>
      <c r="R35" s="1071"/>
      <c r="S35" s="1071"/>
      <c r="T35" s="1071"/>
      <c r="U35" s="1071"/>
      <c r="V35" s="1071"/>
      <c r="W35" s="1071"/>
      <c r="X35" s="1071"/>
      <c r="Y35" s="1071"/>
      <c r="Z35" s="1071"/>
      <c r="AA35" s="1071"/>
      <c r="AB35" s="1071"/>
      <c r="AC35" s="1071"/>
      <c r="AD35" s="1071"/>
      <c r="AE35" s="1071"/>
      <c r="AF35" s="1071"/>
      <c r="AG35" s="1071"/>
      <c r="AH35" s="1061"/>
    </row>
    <row r="36" spans="3:35" x14ac:dyDescent="0.3">
      <c r="C36" s="1054" t="s">
        <v>627</v>
      </c>
      <c r="D36" s="1061"/>
      <c r="E36" s="1070"/>
      <c r="F36" s="1061"/>
      <c r="G36" s="1061">
        <v>12500</v>
      </c>
      <c r="H36" s="1061"/>
      <c r="J36" s="1071"/>
      <c r="K36" s="1071"/>
      <c r="L36" s="1071"/>
      <c r="M36" s="1071"/>
      <c r="N36" s="1071"/>
      <c r="O36" s="1071"/>
      <c r="P36" s="1071"/>
      <c r="Q36" s="1071"/>
      <c r="R36" s="1071"/>
      <c r="S36" s="1071"/>
      <c r="T36" s="1071"/>
      <c r="U36" s="1071"/>
      <c r="V36" s="1071"/>
      <c r="W36" s="1071"/>
      <c r="X36" s="1071"/>
      <c r="Y36" s="1071"/>
      <c r="Z36" s="1071"/>
      <c r="AA36" s="1071"/>
      <c r="AB36" s="1071"/>
      <c r="AC36" s="1071"/>
      <c r="AD36" s="1071"/>
      <c r="AE36" s="1071"/>
      <c r="AF36" s="1071"/>
      <c r="AG36" s="1071"/>
      <c r="AH36" s="1061"/>
    </row>
    <row r="37" spans="3:35" x14ac:dyDescent="0.3">
      <c r="C37" s="1054" t="s">
        <v>253</v>
      </c>
      <c r="D37" s="1061"/>
      <c r="E37" s="1070">
        <f>2900000+150000+1874954+277500+144946</f>
        <v>5347400</v>
      </c>
      <c r="F37" s="1061"/>
      <c r="G37" s="1061">
        <f>L85+L86+L87+L88</f>
        <v>580806</v>
      </c>
      <c r="H37" s="1061"/>
      <c r="J37" s="1071"/>
      <c r="K37" s="1071"/>
      <c r="L37" s="1071"/>
      <c r="M37" s="1071"/>
      <c r="N37" s="1071"/>
      <c r="O37" s="1071"/>
      <c r="P37" s="1071"/>
      <c r="Q37" s="1071"/>
      <c r="R37" s="1071"/>
      <c r="S37" s="1071"/>
      <c r="T37" s="1071"/>
      <c r="U37" s="1071"/>
      <c r="V37" s="1071"/>
      <c r="W37" s="1071"/>
      <c r="X37" s="1071"/>
      <c r="Y37" s="1071"/>
      <c r="Z37" s="1071"/>
      <c r="AA37" s="1071"/>
      <c r="AB37" s="1071"/>
      <c r="AC37" s="1071"/>
      <c r="AD37" s="1071"/>
      <c r="AE37" s="1071"/>
      <c r="AF37" s="1071"/>
      <c r="AG37" s="1071"/>
      <c r="AH37" s="1061"/>
    </row>
    <row r="38" spans="3:35" x14ac:dyDescent="0.3">
      <c r="C38" s="1054" t="s">
        <v>254</v>
      </c>
      <c r="D38" s="1061"/>
      <c r="E38" s="1070">
        <v>230478</v>
      </c>
      <c r="F38" s="1061"/>
      <c r="G38" s="1061">
        <v>15500</v>
      </c>
      <c r="H38" s="1061"/>
      <c r="J38" s="1071"/>
      <c r="K38" s="1071"/>
      <c r="L38" s="1071"/>
      <c r="M38" s="1071"/>
      <c r="N38" s="1071"/>
      <c r="O38" s="1071"/>
      <c r="P38" s="1071"/>
      <c r="Q38" s="1071"/>
      <c r="R38" s="1071"/>
      <c r="S38" s="1071"/>
      <c r="T38" s="1071"/>
      <c r="U38" s="1071"/>
      <c r="V38" s="1071"/>
      <c r="W38" s="1071"/>
      <c r="X38" s="1071"/>
      <c r="Y38" s="1071"/>
      <c r="Z38" s="1071"/>
      <c r="AA38" s="1071"/>
      <c r="AB38" s="1071"/>
      <c r="AC38" s="1071"/>
      <c r="AD38" s="1071"/>
      <c r="AE38" s="1071"/>
      <c r="AF38" s="1071"/>
      <c r="AG38" s="1071"/>
      <c r="AH38" s="1061"/>
    </row>
    <row r="39" spans="3:35" x14ac:dyDescent="0.3">
      <c r="C39" s="1054" t="s">
        <v>628</v>
      </c>
      <c r="D39" s="1061"/>
      <c r="E39" s="1070"/>
      <c r="F39" s="1061"/>
      <c r="G39" s="1061">
        <v>2932</v>
      </c>
      <c r="H39" s="1061"/>
      <c r="J39" s="1071"/>
      <c r="K39" s="1071"/>
      <c r="L39" s="1071"/>
      <c r="M39" s="1071"/>
      <c r="N39" s="1071"/>
      <c r="O39" s="1071"/>
      <c r="P39" s="1071"/>
      <c r="Q39" s="1071"/>
      <c r="R39" s="1071"/>
      <c r="S39" s="1071"/>
      <c r="T39" s="1071"/>
      <c r="U39" s="1071"/>
      <c r="V39" s="1071"/>
      <c r="W39" s="1071"/>
      <c r="X39" s="1071"/>
      <c r="Y39" s="1071"/>
      <c r="Z39" s="1071"/>
      <c r="AA39" s="1071"/>
      <c r="AB39" s="1071"/>
      <c r="AC39" s="1071"/>
      <c r="AD39" s="1071"/>
      <c r="AE39" s="1071"/>
      <c r="AF39" s="1071"/>
      <c r="AG39" s="1071"/>
      <c r="AH39" s="1061"/>
    </row>
    <row r="40" spans="3:35" x14ac:dyDescent="0.3">
      <c r="C40" s="1054" t="s">
        <v>255</v>
      </c>
      <c r="D40" s="1061"/>
      <c r="E40" s="1070">
        <v>47900</v>
      </c>
      <c r="F40" s="1061"/>
      <c r="G40" s="1061"/>
      <c r="H40" s="1061"/>
      <c r="J40" s="1071"/>
      <c r="K40" s="1071"/>
      <c r="L40" s="1071"/>
      <c r="M40" s="1071"/>
      <c r="N40" s="1071"/>
      <c r="O40" s="1071"/>
      <c r="P40" s="1071"/>
      <c r="Q40" s="1071"/>
      <c r="R40" s="1071"/>
      <c r="S40" s="1071"/>
      <c r="T40" s="1071"/>
      <c r="U40" s="1071"/>
      <c r="V40" s="1071"/>
      <c r="W40" s="1071"/>
      <c r="X40" s="1071"/>
      <c r="Y40" s="1071"/>
      <c r="Z40" s="1071"/>
      <c r="AA40" s="1071"/>
      <c r="AB40" s="1071"/>
      <c r="AC40" s="1071"/>
      <c r="AD40" s="1071"/>
      <c r="AE40" s="1071"/>
      <c r="AF40" s="1071"/>
      <c r="AG40" s="1071"/>
      <c r="AH40" s="1061"/>
    </row>
    <row r="41" spans="3:35" x14ac:dyDescent="0.3">
      <c r="C41" s="1054" t="s">
        <v>256</v>
      </c>
      <c r="D41" s="1061"/>
      <c r="E41" s="1070">
        <v>139000</v>
      </c>
      <c r="F41" s="1061"/>
      <c r="G41" s="1061"/>
      <c r="H41" s="1061"/>
      <c r="J41" s="1071"/>
      <c r="K41" s="1071"/>
      <c r="L41" s="1071"/>
      <c r="M41" s="1071"/>
      <c r="N41" s="1071"/>
      <c r="O41" s="1071"/>
      <c r="P41" s="1071"/>
      <c r="Q41" s="1071"/>
      <c r="R41" s="1071"/>
      <c r="S41" s="1071"/>
      <c r="T41" s="1071"/>
      <c r="U41" s="1071"/>
      <c r="V41" s="1071"/>
      <c r="W41" s="1071"/>
      <c r="X41" s="1071"/>
      <c r="Y41" s="1071"/>
      <c r="Z41" s="1071"/>
      <c r="AA41" s="1071"/>
      <c r="AB41" s="1071"/>
      <c r="AC41" s="1071"/>
      <c r="AD41" s="1071"/>
      <c r="AE41" s="1071"/>
      <c r="AF41" s="1071"/>
      <c r="AG41" s="1071"/>
      <c r="AH41" s="1061"/>
    </row>
    <row r="42" spans="3:35" x14ac:dyDescent="0.3">
      <c r="C42" s="1054" t="s">
        <v>257</v>
      </c>
      <c r="D42" s="1061"/>
      <c r="E42" s="1070">
        <v>0</v>
      </c>
      <c r="F42" s="1061"/>
      <c r="G42" s="1061"/>
      <c r="H42" s="1061"/>
      <c r="J42" s="1071"/>
      <c r="K42" s="1071"/>
      <c r="L42" s="1071"/>
      <c r="M42" s="1071"/>
      <c r="N42" s="1071"/>
      <c r="O42" s="1071"/>
      <c r="P42" s="1071"/>
      <c r="Q42" s="1071"/>
      <c r="R42" s="1071"/>
      <c r="S42" s="1071"/>
      <c r="T42" s="1071"/>
      <c r="U42" s="1071"/>
      <c r="V42" s="1071"/>
      <c r="W42" s="1071"/>
      <c r="X42" s="1071"/>
      <c r="Y42" s="1071"/>
      <c r="Z42" s="1071"/>
      <c r="AA42" s="1071"/>
      <c r="AB42" s="1071"/>
      <c r="AC42" s="1071"/>
      <c r="AD42" s="1071"/>
      <c r="AE42" s="1071"/>
      <c r="AF42" s="1071"/>
      <c r="AG42" s="1071"/>
      <c r="AH42" s="1061"/>
    </row>
    <row r="43" spans="3:35" x14ac:dyDescent="0.3">
      <c r="C43" s="1067" t="s">
        <v>166</v>
      </c>
      <c r="F43" s="1061">
        <v>750000</v>
      </c>
      <c r="J43" s="1071"/>
      <c r="K43" s="1071"/>
      <c r="L43" s="1071"/>
      <c r="M43" s="1071"/>
      <c r="N43" s="1071"/>
      <c r="O43" s="1071"/>
      <c r="P43" s="1071"/>
      <c r="Q43" s="1071"/>
      <c r="R43" s="1071">
        <f>$F$43*'Revenue %s'!N34</f>
        <v>375000</v>
      </c>
      <c r="S43" s="1071">
        <f>$F$43*'Revenue %s'!O34</f>
        <v>187500</v>
      </c>
      <c r="T43" s="1071">
        <f>$F$43*'Revenue %s'!P34</f>
        <v>187500</v>
      </c>
      <c r="U43" s="1071"/>
      <c r="V43" s="1071"/>
      <c r="W43" s="1071"/>
      <c r="X43" s="1071"/>
      <c r="Y43" s="1071"/>
      <c r="Z43" s="1071"/>
      <c r="AA43" s="1071"/>
      <c r="AB43" s="1071"/>
      <c r="AC43" s="1071"/>
      <c r="AD43" s="1071"/>
      <c r="AE43" s="1071"/>
      <c r="AF43" s="1071"/>
      <c r="AG43" s="1071"/>
    </row>
    <row r="44" spans="3:35" x14ac:dyDescent="0.3">
      <c r="C44" s="1067" t="s">
        <v>115</v>
      </c>
      <c r="D44" s="1061"/>
      <c r="F44" s="1061">
        <v>1100000</v>
      </c>
      <c r="G44" s="1061"/>
      <c r="H44" s="1061"/>
      <c r="I44" s="1061"/>
      <c r="J44" s="1071"/>
      <c r="K44" s="1071"/>
      <c r="L44" s="1071"/>
      <c r="M44" s="1071"/>
      <c r="N44" s="1071"/>
      <c r="O44" s="1071"/>
      <c r="P44" s="1071"/>
      <c r="Q44" s="1071"/>
      <c r="R44" s="1071">
        <f>$F$44*'Revenue %s'!N35</f>
        <v>550000</v>
      </c>
      <c r="S44" s="1071">
        <f>$F$44*'Revenue %s'!O35</f>
        <v>275000</v>
      </c>
      <c r="T44" s="1071">
        <f>$F$44*'Revenue %s'!P35</f>
        <v>275000</v>
      </c>
      <c r="U44" s="1071"/>
      <c r="V44" s="1071"/>
      <c r="W44" s="1071"/>
      <c r="X44" s="1071"/>
      <c r="Y44" s="1071"/>
      <c r="Z44" s="1071"/>
      <c r="AA44" s="1071"/>
      <c r="AB44" s="1071"/>
      <c r="AC44" s="1071"/>
      <c r="AD44" s="1071"/>
      <c r="AE44" s="1071"/>
      <c r="AF44" s="1071"/>
      <c r="AG44" s="1071"/>
      <c r="AH44" s="1061"/>
    </row>
    <row r="45" spans="3:35" x14ac:dyDescent="0.3">
      <c r="C45" s="1067" t="s">
        <v>258</v>
      </c>
      <c r="F45" s="1061">
        <v>687724</v>
      </c>
      <c r="J45" s="1071"/>
      <c r="K45" s="1071"/>
      <c r="L45" s="1071"/>
      <c r="M45" s="1071"/>
      <c r="N45" s="1071"/>
      <c r="O45" s="1071"/>
      <c r="P45" s="1071"/>
      <c r="Q45" s="1071"/>
      <c r="R45" s="1071">
        <f>$F$45*'Revenue %s'!N36</f>
        <v>343862</v>
      </c>
      <c r="S45" s="1071">
        <f>$F$45*'Revenue %s'!O36</f>
        <v>171931</v>
      </c>
      <c r="T45" s="1071">
        <f>$F$45*'Revenue %s'!P36</f>
        <v>171931</v>
      </c>
      <c r="U45" s="1071"/>
      <c r="V45" s="1071"/>
      <c r="W45" s="1071"/>
      <c r="X45" s="1071"/>
      <c r="Y45" s="1071"/>
      <c r="Z45" s="1071"/>
      <c r="AA45" s="1071"/>
      <c r="AB45" s="1071"/>
      <c r="AC45" s="1071"/>
      <c r="AD45" s="1071"/>
      <c r="AE45" s="1071"/>
      <c r="AF45" s="1071"/>
      <c r="AG45" s="1071"/>
    </row>
    <row r="46" spans="3:35" x14ac:dyDescent="0.3">
      <c r="C46" s="1067" t="s">
        <v>259</v>
      </c>
      <c r="D46" s="1061"/>
      <c r="F46" s="1061">
        <v>0</v>
      </c>
      <c r="G46" s="1061"/>
      <c r="H46" s="1061"/>
      <c r="J46" s="1071"/>
      <c r="K46" s="1071"/>
      <c r="L46" s="1071"/>
      <c r="M46" s="1071"/>
      <c r="N46" s="1071"/>
      <c r="O46" s="1071"/>
      <c r="P46" s="1071"/>
      <c r="Q46" s="1071"/>
      <c r="R46" s="1071">
        <f>$F$46*'Revenue %s'!N37</f>
        <v>0</v>
      </c>
      <c r="S46" s="1071">
        <f>$F$46*'Revenue %s'!O37</f>
        <v>0</v>
      </c>
      <c r="T46" s="1071">
        <f>$F$46*'Revenue %s'!P37</f>
        <v>0</v>
      </c>
      <c r="U46" s="1071"/>
      <c r="V46" s="1071"/>
      <c r="W46" s="1071"/>
      <c r="X46" s="1071"/>
      <c r="Y46" s="1071"/>
      <c r="Z46" s="1071"/>
      <c r="AA46" s="1071"/>
      <c r="AB46" s="1071"/>
      <c r="AC46" s="1071"/>
      <c r="AD46" s="1071"/>
      <c r="AE46" s="1071"/>
      <c r="AF46" s="1071"/>
      <c r="AG46" s="1071"/>
      <c r="AH46" s="1061">
        <f>SUM(J46:P46)</f>
        <v>0</v>
      </c>
      <c r="AI46" s="1056" t="s">
        <v>566</v>
      </c>
    </row>
    <row r="47" spans="3:35" x14ac:dyDescent="0.3">
      <c r="C47" s="1067" t="s">
        <v>165</v>
      </c>
      <c r="D47" s="1061"/>
      <c r="F47" s="1061">
        <v>0</v>
      </c>
      <c r="G47" s="1061"/>
      <c r="H47" s="1061"/>
      <c r="J47" s="1071"/>
      <c r="K47" s="1071"/>
      <c r="L47" s="1071"/>
      <c r="M47" s="1071"/>
      <c r="N47" s="1071"/>
      <c r="O47" s="1071"/>
      <c r="P47" s="1071"/>
      <c r="Q47" s="1071"/>
      <c r="R47" s="1071">
        <f>$F$47*'Revenue %s'!N38</f>
        <v>0</v>
      </c>
      <c r="S47" s="1071">
        <f>$F$47*'Revenue %s'!O38</f>
        <v>0</v>
      </c>
      <c r="T47" s="1071">
        <f>$F$47*'Revenue %s'!P38</f>
        <v>0</v>
      </c>
      <c r="U47" s="1071"/>
      <c r="V47" s="1071"/>
      <c r="W47" s="1071"/>
      <c r="X47" s="1071"/>
      <c r="Y47" s="1071"/>
      <c r="Z47" s="1071"/>
      <c r="AA47" s="1071"/>
      <c r="AB47" s="1071"/>
      <c r="AC47" s="1071"/>
      <c r="AD47" s="1071"/>
      <c r="AE47" s="1071"/>
      <c r="AF47" s="1071"/>
      <c r="AG47" s="1071"/>
      <c r="AH47" s="1061">
        <f t="shared" ref="AH47:AH60" si="3">SUM(J47:O47)</f>
        <v>0</v>
      </c>
      <c r="AI47" s="1056" t="s">
        <v>567</v>
      </c>
    </row>
    <row r="48" spans="3:35" x14ac:dyDescent="0.3">
      <c r="C48" s="1067" t="s">
        <v>260</v>
      </c>
      <c r="D48" s="1061"/>
      <c r="F48" s="1061">
        <v>0</v>
      </c>
      <c r="G48" s="1061"/>
      <c r="H48" s="1061"/>
      <c r="J48" s="1071"/>
      <c r="K48" s="1071"/>
      <c r="L48" s="1071"/>
      <c r="M48" s="1071"/>
      <c r="N48" s="1071"/>
      <c r="O48" s="1071"/>
      <c r="P48" s="1071"/>
      <c r="Q48" s="1071"/>
      <c r="R48" s="1071">
        <f>$F$48*'Revenue %s'!N39</f>
        <v>0</v>
      </c>
      <c r="S48" s="1071">
        <f>$F$48*'Revenue %s'!O39</f>
        <v>0</v>
      </c>
      <c r="T48" s="1071">
        <f>$F$48*'Revenue %s'!P39</f>
        <v>0</v>
      </c>
      <c r="U48" s="1071"/>
      <c r="V48" s="1071"/>
      <c r="W48" s="1071"/>
      <c r="X48" s="1071"/>
      <c r="Y48" s="1071"/>
      <c r="Z48" s="1071"/>
      <c r="AA48" s="1071"/>
      <c r="AB48" s="1071"/>
      <c r="AC48" s="1071"/>
      <c r="AD48" s="1071"/>
      <c r="AE48" s="1071"/>
      <c r="AF48" s="1071"/>
      <c r="AG48" s="1071"/>
      <c r="AH48" s="1061">
        <f t="shared" si="3"/>
        <v>0</v>
      </c>
      <c r="AI48" s="1056" t="s">
        <v>568</v>
      </c>
    </row>
    <row r="49" spans="3:36" x14ac:dyDescent="0.3">
      <c r="C49" s="1067" t="s">
        <v>261</v>
      </c>
      <c r="D49" s="1061"/>
      <c r="F49" s="1061">
        <v>0</v>
      </c>
      <c r="G49" s="1061"/>
      <c r="H49" s="1061"/>
      <c r="J49" s="1071"/>
      <c r="K49" s="1071"/>
      <c r="L49" s="1071"/>
      <c r="M49" s="1071"/>
      <c r="N49" s="1071"/>
      <c r="O49" s="1071"/>
      <c r="P49" s="1071"/>
      <c r="Q49" s="1071"/>
      <c r="R49" s="1071">
        <f>$F$49*'Revenue %s'!N40</f>
        <v>0</v>
      </c>
      <c r="S49" s="1071">
        <f>$F$49*'Revenue %s'!O40</f>
        <v>0</v>
      </c>
      <c r="T49" s="1071">
        <f>$F$49*'Revenue %s'!P40</f>
        <v>0</v>
      </c>
      <c r="U49" s="1071"/>
      <c r="V49" s="1071"/>
      <c r="W49" s="1071"/>
      <c r="X49" s="1071"/>
      <c r="Y49" s="1071"/>
      <c r="Z49" s="1071"/>
      <c r="AA49" s="1071"/>
      <c r="AB49" s="1071"/>
      <c r="AC49" s="1071"/>
      <c r="AD49" s="1071"/>
      <c r="AE49" s="1071"/>
      <c r="AF49" s="1071"/>
      <c r="AG49" s="1071"/>
      <c r="AH49" s="1061">
        <f t="shared" si="3"/>
        <v>0</v>
      </c>
      <c r="AI49" s="1056" t="s">
        <v>569</v>
      </c>
    </row>
    <row r="50" spans="3:36" x14ac:dyDescent="0.3">
      <c r="C50" s="1067" t="s">
        <v>262</v>
      </c>
      <c r="D50" s="1061"/>
      <c r="F50" s="1061">
        <v>0</v>
      </c>
      <c r="G50" s="1061"/>
      <c r="H50" s="1061"/>
      <c r="J50" s="1071"/>
      <c r="K50" s="1071"/>
      <c r="L50" s="1071"/>
      <c r="M50" s="1071"/>
      <c r="N50" s="1071"/>
      <c r="O50" s="1071"/>
      <c r="P50" s="1071"/>
      <c r="Q50" s="1071"/>
      <c r="R50" s="1071">
        <f>$F$50*'Revenue %s'!N41</f>
        <v>0</v>
      </c>
      <c r="S50" s="1071">
        <f>$F$50*'Revenue %s'!O41</f>
        <v>0</v>
      </c>
      <c r="T50" s="1071">
        <f>$F$50*'Revenue %s'!P41</f>
        <v>0</v>
      </c>
      <c r="U50" s="1071"/>
      <c r="V50" s="1071"/>
      <c r="W50" s="1071"/>
      <c r="X50" s="1071"/>
      <c r="Y50" s="1071"/>
      <c r="Z50" s="1071"/>
      <c r="AA50" s="1071"/>
      <c r="AB50" s="1071"/>
      <c r="AC50" s="1071"/>
      <c r="AD50" s="1071"/>
      <c r="AE50" s="1071"/>
      <c r="AF50" s="1071"/>
      <c r="AG50" s="1071"/>
      <c r="AH50" s="1061">
        <f t="shared" si="3"/>
        <v>0</v>
      </c>
      <c r="AI50" s="1064" t="s">
        <v>570</v>
      </c>
    </row>
    <row r="51" spans="3:36" x14ac:dyDescent="0.3">
      <c r="C51" s="1067" t="s">
        <v>557</v>
      </c>
      <c r="D51" s="1061"/>
      <c r="F51" s="1061">
        <v>0</v>
      </c>
      <c r="G51" s="1061"/>
      <c r="H51" s="1061"/>
      <c r="J51" s="1071"/>
      <c r="K51" s="1071"/>
      <c r="L51" s="1071"/>
      <c r="M51" s="1071"/>
      <c r="N51" s="1071"/>
      <c r="O51" s="1071"/>
      <c r="P51" s="1071"/>
      <c r="Q51" s="1071"/>
      <c r="R51" s="1071">
        <f>$F$51*'Revenue %s'!N42</f>
        <v>0</v>
      </c>
      <c r="S51" s="1071">
        <f>$F$51*'Revenue %s'!O42</f>
        <v>0</v>
      </c>
      <c r="T51" s="1071">
        <f>$F$51*'Revenue %s'!P42</f>
        <v>0</v>
      </c>
      <c r="U51" s="1071"/>
      <c r="V51" s="1071"/>
      <c r="W51" s="1071"/>
      <c r="X51" s="1071"/>
      <c r="Y51" s="1071"/>
      <c r="Z51" s="1071"/>
      <c r="AA51" s="1071"/>
      <c r="AB51" s="1071"/>
      <c r="AC51" s="1071"/>
      <c r="AD51" s="1071"/>
      <c r="AE51" s="1071"/>
      <c r="AF51" s="1071"/>
      <c r="AG51" s="1071"/>
      <c r="AH51" s="1061">
        <f t="shared" si="3"/>
        <v>0</v>
      </c>
    </row>
    <row r="52" spans="3:36" x14ac:dyDescent="0.3">
      <c r="C52" s="1067" t="s">
        <v>263</v>
      </c>
      <c r="D52" s="1061"/>
      <c r="F52" s="1061">
        <v>0</v>
      </c>
      <c r="G52" s="1061"/>
      <c r="H52" s="1061"/>
      <c r="J52" s="1071"/>
      <c r="K52" s="1071"/>
      <c r="L52" s="1071"/>
      <c r="M52" s="1071"/>
      <c r="N52" s="1071"/>
      <c r="O52" s="1071"/>
      <c r="P52" s="1071"/>
      <c r="Q52" s="1071"/>
      <c r="R52" s="1071">
        <f>$F$52*'Revenue %s'!N43</f>
        <v>0</v>
      </c>
      <c r="S52" s="1071">
        <f>$F$52*'Revenue %s'!O43</f>
        <v>0</v>
      </c>
      <c r="T52" s="1071">
        <f>$F$52*'Revenue %s'!P43</f>
        <v>0</v>
      </c>
      <c r="U52" s="1071"/>
      <c r="V52" s="1071"/>
      <c r="W52" s="1071"/>
      <c r="X52" s="1071"/>
      <c r="Y52" s="1071"/>
      <c r="Z52" s="1071"/>
      <c r="AA52" s="1071"/>
      <c r="AB52" s="1071"/>
      <c r="AC52" s="1071"/>
      <c r="AD52" s="1071"/>
      <c r="AE52" s="1071"/>
      <c r="AF52" s="1071"/>
      <c r="AG52" s="1071"/>
      <c r="AH52" s="1061">
        <f t="shared" si="3"/>
        <v>0</v>
      </c>
    </row>
    <row r="53" spans="3:36" x14ac:dyDescent="0.3">
      <c r="D53" s="1061"/>
      <c r="E53" s="1061"/>
      <c r="F53" s="1061"/>
      <c r="G53" s="1061"/>
      <c r="H53" s="1061"/>
      <c r="J53" s="1071"/>
      <c r="K53" s="1071"/>
      <c r="L53" s="1071"/>
      <c r="M53" s="1071"/>
      <c r="N53" s="1071"/>
      <c r="O53" s="1071"/>
      <c r="P53" s="1071"/>
      <c r="Q53" s="1071"/>
      <c r="R53" s="1071"/>
      <c r="S53" s="1071"/>
      <c r="T53" s="1071"/>
      <c r="U53" s="1071"/>
      <c r="V53" s="1071"/>
      <c r="W53" s="1071"/>
      <c r="X53" s="1071"/>
      <c r="Y53" s="1071"/>
      <c r="Z53" s="1071"/>
      <c r="AA53" s="1071"/>
      <c r="AB53" s="1071"/>
      <c r="AC53" s="1071"/>
      <c r="AD53" s="1071"/>
      <c r="AE53" s="1071"/>
      <c r="AF53" s="1071"/>
      <c r="AG53" s="1071"/>
      <c r="AH53" s="1061">
        <f t="shared" si="3"/>
        <v>0</v>
      </c>
    </row>
    <row r="54" spans="3:36" x14ac:dyDescent="0.3">
      <c r="D54" s="1061"/>
      <c r="E54" s="1061"/>
      <c r="F54" s="1061"/>
      <c r="G54" s="1061"/>
      <c r="H54" s="1061"/>
      <c r="J54" s="1071"/>
      <c r="K54" s="1071"/>
      <c r="L54" s="1071"/>
      <c r="M54" s="1071"/>
      <c r="N54" s="1071"/>
      <c r="O54" s="1071"/>
      <c r="P54" s="1071"/>
      <c r="Q54" s="1071"/>
      <c r="R54" s="1071"/>
      <c r="S54" s="1071"/>
      <c r="T54" s="1071"/>
      <c r="U54" s="1071"/>
      <c r="V54" s="1071"/>
      <c r="W54" s="1071"/>
      <c r="X54" s="1071"/>
      <c r="Y54" s="1071"/>
      <c r="Z54" s="1071"/>
      <c r="AA54" s="1071"/>
      <c r="AB54" s="1071"/>
      <c r="AC54" s="1071"/>
      <c r="AD54" s="1071"/>
      <c r="AE54" s="1071"/>
      <c r="AF54" s="1071"/>
      <c r="AG54" s="1071"/>
      <c r="AH54" s="1061">
        <f t="shared" si="3"/>
        <v>0</v>
      </c>
    </row>
    <row r="55" spans="3:36" x14ac:dyDescent="0.3">
      <c r="D55" s="1061"/>
      <c r="E55" s="1061"/>
      <c r="F55" s="1061"/>
      <c r="G55" s="1061"/>
      <c r="H55" s="1061"/>
      <c r="J55" s="1071"/>
      <c r="K55" s="1071"/>
      <c r="L55" s="1071"/>
      <c r="M55" s="1071"/>
      <c r="N55" s="1071"/>
      <c r="O55" s="1071"/>
      <c r="P55" s="1071"/>
      <c r="Q55" s="1071"/>
      <c r="R55" s="1071"/>
      <c r="S55" s="1071"/>
      <c r="T55" s="1071"/>
      <c r="U55" s="1071"/>
      <c r="V55" s="1071"/>
      <c r="W55" s="1071"/>
      <c r="X55" s="1071"/>
      <c r="Y55" s="1071"/>
      <c r="Z55" s="1071"/>
      <c r="AA55" s="1071"/>
      <c r="AB55" s="1071"/>
      <c r="AC55" s="1071"/>
      <c r="AD55" s="1071"/>
      <c r="AE55" s="1071"/>
      <c r="AF55" s="1071"/>
      <c r="AG55" s="1071"/>
      <c r="AH55" s="1061">
        <f t="shared" si="3"/>
        <v>0</v>
      </c>
    </row>
    <row r="56" spans="3:36" x14ac:dyDescent="0.3">
      <c r="D56" s="1061"/>
      <c r="E56" s="1061"/>
      <c r="F56" s="1061"/>
      <c r="G56" s="1061"/>
      <c r="H56" s="1061"/>
      <c r="J56" s="1071"/>
      <c r="K56" s="1071"/>
      <c r="L56" s="1071"/>
      <c r="M56" s="1071"/>
      <c r="N56" s="1071"/>
      <c r="O56" s="1071"/>
      <c r="P56" s="1071"/>
      <c r="Q56" s="1071"/>
      <c r="R56" s="1071"/>
      <c r="S56" s="1071"/>
      <c r="T56" s="1071"/>
      <c r="U56" s="1071"/>
      <c r="V56" s="1071"/>
      <c r="W56" s="1071"/>
      <c r="X56" s="1071"/>
      <c r="Y56" s="1071"/>
      <c r="Z56" s="1071"/>
      <c r="AA56" s="1071"/>
      <c r="AB56" s="1071"/>
      <c r="AC56" s="1071"/>
      <c r="AD56" s="1071"/>
      <c r="AE56" s="1071"/>
      <c r="AF56" s="1071"/>
      <c r="AG56" s="1071"/>
      <c r="AH56" s="1061">
        <f t="shared" si="3"/>
        <v>0</v>
      </c>
    </row>
    <row r="57" spans="3:36" x14ac:dyDescent="0.3">
      <c r="D57" s="1061"/>
      <c r="E57" s="1061"/>
      <c r="F57" s="1061"/>
      <c r="G57" s="1061"/>
      <c r="H57" s="1061"/>
      <c r="J57" s="1071"/>
      <c r="K57" s="1071"/>
      <c r="L57" s="1071"/>
      <c r="M57" s="1071"/>
      <c r="N57" s="1071"/>
      <c r="O57" s="1071"/>
      <c r="P57" s="1071"/>
      <c r="Q57" s="1071"/>
      <c r="R57" s="1071"/>
      <c r="S57" s="1071"/>
      <c r="T57" s="1071"/>
      <c r="U57" s="1071"/>
      <c r="V57" s="1071"/>
      <c r="W57" s="1071"/>
      <c r="X57" s="1071"/>
      <c r="Y57" s="1071"/>
      <c r="Z57" s="1071"/>
      <c r="AA57" s="1071"/>
      <c r="AB57" s="1071"/>
      <c r="AC57" s="1071"/>
      <c r="AD57" s="1071"/>
      <c r="AE57" s="1071"/>
      <c r="AF57" s="1071"/>
      <c r="AG57" s="1071"/>
      <c r="AH57" s="1061">
        <f t="shared" si="3"/>
        <v>0</v>
      </c>
      <c r="AJ57" s="1056" t="s">
        <v>576</v>
      </c>
    </row>
    <row r="58" spans="3:36" x14ac:dyDescent="0.3">
      <c r="D58" s="1061"/>
      <c r="E58" s="1061"/>
      <c r="F58" s="1061"/>
      <c r="G58" s="1061"/>
      <c r="H58" s="1061"/>
      <c r="J58" s="1071"/>
      <c r="K58" s="1071"/>
      <c r="L58" s="1071"/>
      <c r="M58" s="1071"/>
      <c r="N58" s="1071"/>
      <c r="O58" s="1071"/>
      <c r="P58" s="1071"/>
      <c r="Q58" s="1071"/>
      <c r="R58" s="1071"/>
      <c r="S58" s="1071"/>
      <c r="T58" s="1071"/>
      <c r="U58" s="1071"/>
      <c r="V58" s="1071"/>
      <c r="W58" s="1071"/>
      <c r="X58" s="1071"/>
      <c r="Y58" s="1071"/>
      <c r="Z58" s="1071"/>
      <c r="AA58" s="1071"/>
      <c r="AB58" s="1071"/>
      <c r="AC58" s="1071"/>
      <c r="AD58" s="1071"/>
      <c r="AE58" s="1071"/>
      <c r="AF58" s="1071"/>
      <c r="AG58" s="1071"/>
      <c r="AH58" s="1061">
        <f t="shared" si="3"/>
        <v>0</v>
      </c>
    </row>
    <row r="59" spans="3:36" x14ac:dyDescent="0.3">
      <c r="D59" s="1061"/>
      <c r="E59" s="1061"/>
      <c r="F59" s="1061"/>
      <c r="G59" s="1061"/>
      <c r="H59" s="1061"/>
      <c r="J59" s="1071"/>
      <c r="K59" s="1071"/>
      <c r="L59" s="1071"/>
      <c r="M59" s="1071"/>
      <c r="N59" s="1071"/>
      <c r="O59" s="1071"/>
      <c r="P59" s="1071"/>
      <c r="Q59" s="1071"/>
      <c r="R59" s="1071"/>
      <c r="S59" s="1071"/>
      <c r="T59" s="1071"/>
      <c r="U59" s="1071"/>
      <c r="V59" s="1071"/>
      <c r="W59" s="1071"/>
      <c r="X59" s="1071"/>
      <c r="Y59" s="1071"/>
      <c r="Z59" s="1071"/>
      <c r="AA59" s="1071"/>
      <c r="AB59" s="1071"/>
      <c r="AC59" s="1071"/>
      <c r="AD59" s="1071"/>
      <c r="AE59" s="1071"/>
      <c r="AF59" s="1071"/>
      <c r="AG59" s="1071"/>
      <c r="AH59" s="1061">
        <f t="shared" si="3"/>
        <v>0</v>
      </c>
    </row>
    <row r="60" spans="3:36" x14ac:dyDescent="0.3">
      <c r="D60" s="1061"/>
      <c r="E60" s="1061"/>
      <c r="F60" s="1061"/>
      <c r="G60" s="1061"/>
      <c r="H60" s="1061"/>
      <c r="J60" s="1071"/>
      <c r="K60" s="1071"/>
      <c r="L60" s="1071"/>
      <c r="M60" s="1071"/>
      <c r="N60" s="1071"/>
      <c r="O60" s="1071"/>
      <c r="P60" s="1071"/>
      <c r="Q60" s="1071"/>
      <c r="R60" s="1071"/>
      <c r="S60" s="1071"/>
      <c r="T60" s="1071"/>
      <c r="U60" s="1071"/>
      <c r="V60" s="1071"/>
      <c r="W60" s="1071"/>
      <c r="X60" s="1071"/>
      <c r="Y60" s="1071"/>
      <c r="Z60" s="1071"/>
      <c r="AA60" s="1071"/>
      <c r="AB60" s="1071"/>
      <c r="AC60" s="1071"/>
      <c r="AD60" s="1071"/>
      <c r="AE60" s="1071"/>
      <c r="AF60" s="1071"/>
      <c r="AG60" s="1071"/>
      <c r="AH60" s="1061">
        <f t="shared" si="3"/>
        <v>0</v>
      </c>
    </row>
    <row r="62" spans="3:36" x14ac:dyDescent="0.3">
      <c r="C62" s="1060" t="s">
        <v>92</v>
      </c>
      <c r="D62" s="1061">
        <f t="shared" ref="D62" si="4">SUM(D46:D60)</f>
        <v>0</v>
      </c>
      <c r="E62" s="1061"/>
      <c r="F62" s="1061"/>
      <c r="G62" s="1061"/>
      <c r="H62" s="1061"/>
      <c r="I62" s="1061" t="s">
        <v>681</v>
      </c>
      <c r="J62" s="1061">
        <f>SUM(J12:J60)</f>
        <v>611234.17454094708</v>
      </c>
      <c r="K62" s="1061">
        <f t="shared" ref="K62:AG62" si="5">SUM(K12:K60)</f>
        <v>1190702.7380138813</v>
      </c>
      <c r="L62" s="1061">
        <f t="shared" si="5"/>
        <v>151983.91422239374</v>
      </c>
      <c r="M62" s="1061">
        <f t="shared" si="5"/>
        <v>1814699.2810172194</v>
      </c>
      <c r="N62" s="1061">
        <f t="shared" si="5"/>
        <v>1129302.5346603086</v>
      </c>
      <c r="O62" s="1061">
        <f t="shared" si="5"/>
        <v>135365.54893366608</v>
      </c>
      <c r="P62" s="1061">
        <f t="shared" si="5"/>
        <v>918751.08880048804</v>
      </c>
      <c r="Q62" s="1061">
        <f>SUM(Q12:Q60)</f>
        <v>619796</v>
      </c>
      <c r="R62" s="1061">
        <f t="shared" si="5"/>
        <v>1268862</v>
      </c>
      <c r="S62" s="1061">
        <f t="shared" si="5"/>
        <v>634431</v>
      </c>
      <c r="T62" s="1061">
        <f t="shared" si="5"/>
        <v>634431</v>
      </c>
      <c r="U62" s="1061">
        <f t="shared" si="5"/>
        <v>457463.66070298135</v>
      </c>
      <c r="V62" s="1061">
        <f t="shared" si="5"/>
        <v>283585.13651093043</v>
      </c>
      <c r="W62" s="1061">
        <f t="shared" si="5"/>
        <v>286596.81570945121</v>
      </c>
      <c r="X62" s="1061">
        <f t="shared" si="5"/>
        <v>101599.49980317788</v>
      </c>
      <c r="Y62" s="1061">
        <f t="shared" si="5"/>
        <v>66427.693062268692</v>
      </c>
      <c r="Z62" s="1061">
        <f t="shared" si="5"/>
        <v>0</v>
      </c>
      <c r="AA62" s="1061">
        <f t="shared" si="5"/>
        <v>0</v>
      </c>
      <c r="AB62" s="1061">
        <f t="shared" si="5"/>
        <v>0</v>
      </c>
      <c r="AC62" s="1061">
        <f t="shared" si="5"/>
        <v>0</v>
      </c>
      <c r="AD62" s="1061">
        <f t="shared" si="5"/>
        <v>0</v>
      </c>
      <c r="AE62" s="1061">
        <f t="shared" si="5"/>
        <v>0</v>
      </c>
      <c r="AF62" s="1061">
        <f t="shared" si="5"/>
        <v>0</v>
      </c>
      <c r="AG62" s="1061">
        <f t="shared" si="5"/>
        <v>0</v>
      </c>
      <c r="AH62" s="1061"/>
    </row>
    <row r="63" spans="3:36" x14ac:dyDescent="0.3">
      <c r="I63" s="1054" t="s">
        <v>581</v>
      </c>
      <c r="J63" s="1061">
        <f>J62-J10</f>
        <v>128163.31054094707</v>
      </c>
    </row>
    <row r="64" spans="3:36" x14ac:dyDescent="0.3">
      <c r="C64" s="1056" t="s">
        <v>580</v>
      </c>
      <c r="E64" s="1054"/>
      <c r="F64" s="1054"/>
      <c r="G64" s="1054"/>
      <c r="H64" s="1054"/>
    </row>
    <row r="65" spans="3:38" x14ac:dyDescent="0.3">
      <c r="C65" s="1056" t="s">
        <v>582</v>
      </c>
      <c r="AL65" s="1065"/>
    </row>
    <row r="66" spans="3:38" x14ac:dyDescent="0.3">
      <c r="C66" s="1056" t="s">
        <v>583</v>
      </c>
    </row>
    <row r="67" spans="3:38" x14ac:dyDescent="0.3">
      <c r="C67" s="1056" t="s">
        <v>584</v>
      </c>
      <c r="J67" s="1061"/>
      <c r="K67" s="1065"/>
      <c r="U67" s="1061">
        <f>+Q19+Q21</f>
        <v>0</v>
      </c>
      <c r="V67" s="1065"/>
    </row>
    <row r="68" spans="3:38" x14ac:dyDescent="0.3">
      <c r="C68" s="1056" t="s">
        <v>585</v>
      </c>
      <c r="AH68" s="1056" t="s">
        <v>586</v>
      </c>
    </row>
    <row r="69" spans="3:38" x14ac:dyDescent="0.3">
      <c r="C69" s="1056" t="s">
        <v>587</v>
      </c>
      <c r="J69" s="1056" t="s">
        <v>588</v>
      </c>
      <c r="U69" s="1056" t="s">
        <v>588</v>
      </c>
    </row>
    <row r="70" spans="3:38" x14ac:dyDescent="0.3">
      <c r="C70" s="1056" t="s">
        <v>589</v>
      </c>
      <c r="J70" s="1056" t="s">
        <v>590</v>
      </c>
      <c r="U70" s="1056" t="s">
        <v>590</v>
      </c>
    </row>
    <row r="71" spans="3:38" x14ac:dyDescent="0.3">
      <c r="C71" s="1056" t="s">
        <v>591</v>
      </c>
      <c r="J71" s="1056" t="s">
        <v>592</v>
      </c>
      <c r="U71" s="1056" t="s">
        <v>592</v>
      </c>
    </row>
    <row r="72" spans="3:38" x14ac:dyDescent="0.3">
      <c r="C72" s="1056" t="s">
        <v>593</v>
      </c>
      <c r="J72" s="1056" t="s">
        <v>594</v>
      </c>
      <c r="U72" s="1056" t="s">
        <v>594</v>
      </c>
    </row>
    <row r="73" spans="3:38" x14ac:dyDescent="0.3">
      <c r="C73" s="1056" t="s">
        <v>595</v>
      </c>
      <c r="J73" s="1056" t="s">
        <v>596</v>
      </c>
      <c r="U73" s="1056" t="s">
        <v>596</v>
      </c>
    </row>
    <row r="74" spans="3:38" x14ac:dyDescent="0.3">
      <c r="C74" s="1056" t="s">
        <v>597</v>
      </c>
    </row>
    <row r="75" spans="3:38" x14ac:dyDescent="0.3">
      <c r="C75" s="1100" t="s">
        <v>598</v>
      </c>
    </row>
    <row r="76" spans="3:38" x14ac:dyDescent="0.3">
      <c r="C76" s="1056" t="s">
        <v>599</v>
      </c>
    </row>
    <row r="77" spans="3:38" x14ac:dyDescent="0.3">
      <c r="C77" s="1054" t="s">
        <v>600</v>
      </c>
    </row>
    <row r="78" spans="3:38" x14ac:dyDescent="0.3">
      <c r="C78" s="1056" t="s">
        <v>601</v>
      </c>
    </row>
    <row r="79" spans="3:38" x14ac:dyDescent="0.3">
      <c r="C79" s="1056" t="s">
        <v>602</v>
      </c>
    </row>
    <row r="81" spans="3:17" x14ac:dyDescent="0.3">
      <c r="C81" s="1054" t="s">
        <v>603</v>
      </c>
    </row>
    <row r="84" spans="3:17" x14ac:dyDescent="0.3">
      <c r="K84" s="1056" t="s">
        <v>565</v>
      </c>
      <c r="L84" s="1056" t="s">
        <v>477</v>
      </c>
      <c r="Q84" s="1056" t="s">
        <v>644</v>
      </c>
    </row>
    <row r="85" spans="3:17" x14ac:dyDescent="0.3">
      <c r="C85" s="1054" t="s">
        <v>604</v>
      </c>
      <c r="K85" s="1056" t="s">
        <v>642</v>
      </c>
      <c r="L85" s="1061">
        <v>162594</v>
      </c>
      <c r="Q85" s="1061"/>
    </row>
    <row r="86" spans="3:17" x14ac:dyDescent="0.3">
      <c r="D86" s="1056" t="s">
        <v>605</v>
      </c>
      <c r="K86" s="1056" t="s">
        <v>643</v>
      </c>
      <c r="L86" s="1061">
        <v>172106</v>
      </c>
      <c r="Q86" s="1061"/>
    </row>
    <row r="87" spans="3:17" x14ac:dyDescent="0.3">
      <c r="D87" s="1056" t="s">
        <v>606</v>
      </c>
      <c r="K87" s="1056" t="s">
        <v>450</v>
      </c>
      <c r="L87" s="1061">
        <v>7426</v>
      </c>
      <c r="Q87" s="1061">
        <v>3899</v>
      </c>
    </row>
    <row r="88" spans="3:17" x14ac:dyDescent="0.3">
      <c r="D88" s="1056" t="s">
        <v>607</v>
      </c>
      <c r="K88" s="1056" t="s">
        <v>446</v>
      </c>
      <c r="L88" s="1061">
        <v>238680</v>
      </c>
      <c r="M88" s="1061">
        <f>SUM(L86:L88)</f>
        <v>418212</v>
      </c>
      <c r="Q88" s="1061">
        <v>119000</v>
      </c>
    </row>
    <row r="89" spans="3:17" x14ac:dyDescent="0.3">
      <c r="D89" s="1056" t="s">
        <v>544</v>
      </c>
      <c r="L89" s="1061"/>
      <c r="Q89" s="1061"/>
    </row>
    <row r="90" spans="3:17" x14ac:dyDescent="0.3">
      <c r="K90" s="1056" t="s">
        <v>645</v>
      </c>
      <c r="L90" s="1061"/>
      <c r="Q90" s="1061">
        <v>488320</v>
      </c>
    </row>
    <row r="91" spans="3:17" x14ac:dyDescent="0.3">
      <c r="C91" s="1054" t="s">
        <v>608</v>
      </c>
      <c r="D91" s="1056" t="s">
        <v>609</v>
      </c>
    </row>
    <row r="92" spans="3:17" x14ac:dyDescent="0.3">
      <c r="D92" s="1056" t="s">
        <v>610</v>
      </c>
      <c r="K92" s="1056" t="s">
        <v>642</v>
      </c>
      <c r="L92" s="1061">
        <f>L85+G34+G35+G36+G38+G39</f>
        <v>232443</v>
      </c>
    </row>
  </sheetData>
  <phoneticPr fontId="94" type="noConversion"/>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414FF-8222-45EC-9DDC-F46F8B2EDF29}">
  <dimension ref="A1"/>
  <sheetViews>
    <sheetView workbookViewId="0"/>
  </sheetViews>
  <sheetFormatPr defaultRowHeight="14.4" x14ac:dyDescent="0.3"/>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A8A87-D210-4E81-B107-F4516D88F994}">
  <dimension ref="A1:Z89"/>
  <sheetViews>
    <sheetView workbookViewId="0"/>
  </sheetViews>
  <sheetFormatPr defaultColWidth="9.21875" defaultRowHeight="14.4" x14ac:dyDescent="0.3"/>
  <cols>
    <col min="1" max="1" width="9.21875" style="981"/>
    <col min="2" max="2" width="14.21875" style="981" bestFit="1" customWidth="1"/>
    <col min="3" max="3" width="12.5546875" style="981" bestFit="1" customWidth="1"/>
    <col min="4" max="5" width="14.21875" style="981" bestFit="1" customWidth="1"/>
    <col min="6" max="9" width="14.21875" style="981" customWidth="1"/>
    <col min="10" max="10" width="39.5546875" style="981" customWidth="1"/>
    <col min="11" max="11" width="59.21875" style="981" customWidth="1"/>
    <col min="12" max="12" width="14.77734375" style="981" customWidth="1"/>
    <col min="13" max="13" width="9.21875" style="981"/>
    <col min="14" max="14" width="30.77734375" style="981" bestFit="1" customWidth="1"/>
    <col min="15" max="15" width="18.77734375" style="981" customWidth="1"/>
    <col min="16" max="16" width="12.5546875" style="981" bestFit="1" customWidth="1"/>
    <col min="17" max="17" width="9.21875" style="981"/>
    <col min="18" max="18" width="31.5546875" style="981" customWidth="1"/>
    <col min="19" max="20" width="9.21875" style="981"/>
    <col min="21" max="21" width="45" style="981" bestFit="1" customWidth="1"/>
    <col min="22" max="23" width="12.5546875" style="981" bestFit="1" customWidth="1"/>
    <col min="24" max="24" width="12.77734375" style="981" customWidth="1"/>
    <col min="25" max="25" width="21.44140625" style="981" customWidth="1"/>
    <col min="26" max="26" width="17.77734375" style="981" customWidth="1"/>
    <col min="27" max="16384" width="9.21875" style="981"/>
  </cols>
  <sheetData>
    <row r="1" spans="1:26" x14ac:dyDescent="0.3">
      <c r="A1" s="980"/>
      <c r="B1" s="980"/>
      <c r="C1" s="980"/>
      <c r="D1" s="980"/>
      <c r="E1" s="980"/>
      <c r="F1" s="980"/>
      <c r="G1" s="980"/>
      <c r="H1" s="980"/>
      <c r="I1" s="980"/>
      <c r="J1" s="980" t="s">
        <v>418</v>
      </c>
      <c r="K1" s="980" t="s">
        <v>418</v>
      </c>
      <c r="L1" s="980"/>
      <c r="M1" s="980" t="s">
        <v>419</v>
      </c>
      <c r="V1" s="981" t="s">
        <v>420</v>
      </c>
      <c r="W1" s="981" t="s">
        <v>421</v>
      </c>
      <c r="X1" s="981" t="s">
        <v>422</v>
      </c>
      <c r="Y1" s="981" t="s">
        <v>423</v>
      </c>
      <c r="Z1" s="981" t="s">
        <v>424</v>
      </c>
    </row>
    <row r="2" spans="1:26" x14ac:dyDescent="0.3">
      <c r="A2" s="982" t="s">
        <v>425</v>
      </c>
      <c r="B2" s="982" t="s">
        <v>426</v>
      </c>
      <c r="C2" s="982" t="s">
        <v>427</v>
      </c>
      <c r="D2" s="982" t="s">
        <v>428</v>
      </c>
      <c r="E2" s="982" t="s">
        <v>429</v>
      </c>
      <c r="F2" s="982" t="s">
        <v>430</v>
      </c>
      <c r="G2" s="982" t="s">
        <v>431</v>
      </c>
      <c r="H2" s="982" t="s">
        <v>432</v>
      </c>
      <c r="I2" s="982" t="s">
        <v>433</v>
      </c>
      <c r="J2" s="982" t="s">
        <v>399</v>
      </c>
      <c r="K2" s="982" t="s">
        <v>434</v>
      </c>
      <c r="L2" s="982" t="s">
        <v>435</v>
      </c>
      <c r="M2" s="982" t="s">
        <v>435</v>
      </c>
      <c r="O2" s="983" t="s">
        <v>436</v>
      </c>
      <c r="R2" s="983" t="s">
        <v>437</v>
      </c>
      <c r="U2" s="983" t="s">
        <v>438</v>
      </c>
      <c r="W2" s="984">
        <v>1.0249999999999999</v>
      </c>
      <c r="Y2" s="984">
        <v>1.0349999999999999</v>
      </c>
      <c r="Z2" s="984">
        <v>1.0349999999999999</v>
      </c>
    </row>
    <row r="3" spans="1:26" x14ac:dyDescent="0.3">
      <c r="A3" s="985">
        <v>40150</v>
      </c>
      <c r="B3" s="986">
        <v>771000</v>
      </c>
      <c r="C3" s="987">
        <v>836900</v>
      </c>
      <c r="D3" s="986">
        <v>675900</v>
      </c>
      <c r="E3" s="988">
        <v>848448</v>
      </c>
      <c r="F3" s="988">
        <v>672403</v>
      </c>
      <c r="G3" s="988">
        <v>645022</v>
      </c>
      <c r="H3" s="988">
        <v>623819</v>
      </c>
      <c r="I3" s="988">
        <v>913053</v>
      </c>
      <c r="J3" s="989" t="s">
        <v>439</v>
      </c>
      <c r="K3" s="990" t="s">
        <v>440</v>
      </c>
      <c r="L3" s="991">
        <f>D3-C3</f>
        <v>-161000</v>
      </c>
      <c r="M3" s="992">
        <f>L3/C3</f>
        <v>-0.19237662803202293</v>
      </c>
      <c r="O3" s="993" t="s">
        <v>441</v>
      </c>
      <c r="P3" s="994">
        <v>0</v>
      </c>
      <c r="R3" s="995" t="s">
        <v>442</v>
      </c>
      <c r="S3" s="996">
        <v>2100</v>
      </c>
      <c r="U3" s="981" t="s">
        <v>443</v>
      </c>
      <c r="V3" s="997">
        <v>200000</v>
      </c>
      <c r="W3" s="998">
        <f>V3</f>
        <v>200000</v>
      </c>
      <c r="X3" s="998">
        <v>150000</v>
      </c>
      <c r="Y3" s="998">
        <v>150000</v>
      </c>
      <c r="Z3" s="998">
        <v>150000</v>
      </c>
    </row>
    <row r="4" spans="1:26" x14ac:dyDescent="0.3">
      <c r="A4" s="985">
        <v>40150</v>
      </c>
      <c r="B4" s="986">
        <v>1125000</v>
      </c>
      <c r="C4" s="987">
        <v>1300000</v>
      </c>
      <c r="D4" s="986">
        <v>1125000</v>
      </c>
      <c r="E4" s="986">
        <v>1300000</v>
      </c>
      <c r="F4" s="986">
        <v>1767187</v>
      </c>
      <c r="G4" s="986">
        <v>1305180</v>
      </c>
      <c r="H4" s="986">
        <v>1400000</v>
      </c>
      <c r="I4" s="986">
        <v>1675000</v>
      </c>
      <c r="J4" s="989" t="s">
        <v>444</v>
      </c>
      <c r="K4" s="999" t="s">
        <v>445</v>
      </c>
      <c r="L4" s="991">
        <f t="shared" ref="L4:L33" si="0">D4-C4</f>
        <v>-175000</v>
      </c>
      <c r="M4" s="992">
        <f t="shared" ref="M4:M33" si="1">L4/C4</f>
        <v>-0.13461538461538461</v>
      </c>
      <c r="O4" s="981" t="s">
        <v>446</v>
      </c>
      <c r="P4" s="997">
        <v>61500</v>
      </c>
      <c r="R4" s="981" t="s">
        <v>447</v>
      </c>
      <c r="S4" s="1000">
        <v>3600</v>
      </c>
      <c r="U4" s="981" t="s">
        <v>448</v>
      </c>
      <c r="V4" s="997">
        <v>193500</v>
      </c>
      <c r="W4" s="998">
        <f>ROUND(V4*W$2,-2)</f>
        <v>198300</v>
      </c>
      <c r="X4" s="998">
        <v>204700</v>
      </c>
      <c r="Y4" s="998">
        <f>ROUND(X4*Y2, -2)</f>
        <v>211900</v>
      </c>
      <c r="Z4" s="998">
        <f>ROUND(Y4*Z2, -2)</f>
        <v>219300</v>
      </c>
    </row>
    <row r="5" spans="1:26" x14ac:dyDescent="0.3">
      <c r="A5" s="985">
        <v>42010</v>
      </c>
      <c r="B5" s="986"/>
      <c r="C5" s="987"/>
      <c r="D5" s="986"/>
      <c r="E5" s="986"/>
      <c r="F5" s="986"/>
      <c r="G5" s="986"/>
      <c r="H5" s="986"/>
      <c r="I5" s="986">
        <v>0</v>
      </c>
      <c r="J5" s="989" t="s">
        <v>449</v>
      </c>
      <c r="K5" s="990"/>
      <c r="L5" s="991">
        <f t="shared" si="0"/>
        <v>0</v>
      </c>
      <c r="M5" s="992">
        <v>0</v>
      </c>
      <c r="O5" s="981" t="s">
        <v>447</v>
      </c>
      <c r="P5" s="997">
        <v>12500</v>
      </c>
      <c r="R5" s="981" t="s">
        <v>450</v>
      </c>
      <c r="S5" s="1000">
        <v>30100</v>
      </c>
      <c r="U5" s="981" t="s">
        <v>451</v>
      </c>
      <c r="V5" s="997">
        <v>239500</v>
      </c>
      <c r="W5" s="998">
        <f t="shared" ref="W5:W16" si="2">ROUND(V5*W$2,-2)</f>
        <v>245500</v>
      </c>
      <c r="X5" s="998">
        <v>253500</v>
      </c>
      <c r="Y5" s="998">
        <f>ROUND(X5*Y2, -2)</f>
        <v>262400</v>
      </c>
      <c r="Z5" s="998">
        <f>ROUND(Y5*Z2, -2)</f>
        <v>271600</v>
      </c>
    </row>
    <row r="6" spans="1:26" x14ac:dyDescent="0.3">
      <c r="A6" s="985">
        <v>43210</v>
      </c>
      <c r="B6" s="986"/>
      <c r="C6" s="1001">
        <v>142000</v>
      </c>
      <c r="D6" s="1002">
        <v>546000</v>
      </c>
      <c r="E6" s="1002"/>
      <c r="F6" s="1002"/>
      <c r="G6" s="1002">
        <v>4900000</v>
      </c>
      <c r="H6" s="1002"/>
      <c r="I6" s="1002">
        <v>0</v>
      </c>
      <c r="J6" s="989" t="s">
        <v>452</v>
      </c>
      <c r="K6" s="990"/>
      <c r="L6" s="991">
        <f t="shared" si="0"/>
        <v>404000</v>
      </c>
      <c r="M6" s="992">
        <f t="shared" si="1"/>
        <v>2.8450704225352115</v>
      </c>
      <c r="O6" s="995" t="s">
        <v>453</v>
      </c>
      <c r="P6" s="1003">
        <v>2300</v>
      </c>
      <c r="R6" s="995" t="s">
        <v>453</v>
      </c>
      <c r="S6" s="996">
        <v>10000</v>
      </c>
      <c r="U6" s="981" t="s">
        <v>454</v>
      </c>
      <c r="V6" s="997">
        <v>101400</v>
      </c>
      <c r="W6" s="998">
        <f t="shared" si="2"/>
        <v>103900</v>
      </c>
      <c r="X6" s="998">
        <v>107300</v>
      </c>
      <c r="Y6" s="998">
        <f>ROUND(X6*Y2, -2)</f>
        <v>111100</v>
      </c>
      <c r="Z6" s="998">
        <f>ROUND(Y6*Z2, -2)</f>
        <v>115000</v>
      </c>
    </row>
    <row r="7" spans="1:26" x14ac:dyDescent="0.3">
      <c r="A7" s="985">
        <v>43210</v>
      </c>
      <c r="B7" s="986"/>
      <c r="C7" s="987"/>
      <c r="D7" s="986"/>
      <c r="E7" s="986"/>
      <c r="F7" s="986"/>
      <c r="G7" s="986">
        <v>450000</v>
      </c>
      <c r="H7" s="986">
        <v>450000</v>
      </c>
      <c r="I7" s="986">
        <f>450000-160000</f>
        <v>290000</v>
      </c>
      <c r="J7" s="989" t="s">
        <v>455</v>
      </c>
      <c r="K7" s="990"/>
      <c r="L7" s="991">
        <f t="shared" si="0"/>
        <v>0</v>
      </c>
      <c r="M7" s="992">
        <v>0</v>
      </c>
      <c r="O7" s="981" t="s">
        <v>450</v>
      </c>
      <c r="P7" s="997">
        <v>65000</v>
      </c>
      <c r="R7" s="981" t="s">
        <v>446</v>
      </c>
      <c r="S7" s="1000">
        <v>10600</v>
      </c>
      <c r="U7" s="981" t="s">
        <v>456</v>
      </c>
      <c r="V7" s="997">
        <v>10200</v>
      </c>
      <c r="W7" s="998">
        <f t="shared" si="2"/>
        <v>10500</v>
      </c>
      <c r="X7" s="998">
        <v>10800</v>
      </c>
      <c r="Y7" s="998">
        <f>ROUND(X7*Y2, -2)</f>
        <v>11200</v>
      </c>
      <c r="Z7" s="998">
        <f>ROUND(Y7*Z2, -2)</f>
        <v>11600</v>
      </c>
    </row>
    <row r="8" spans="1:26" x14ac:dyDescent="0.3">
      <c r="A8" s="985"/>
      <c r="B8" s="986"/>
      <c r="C8" s="987"/>
      <c r="D8" s="986"/>
      <c r="E8" s="986"/>
      <c r="F8" s="986"/>
      <c r="G8" s="1004">
        <v>157836</v>
      </c>
      <c r="H8" s="1004"/>
      <c r="I8" s="1004">
        <v>189578</v>
      </c>
      <c r="J8" s="989" t="s">
        <v>457</v>
      </c>
      <c r="K8" s="990" t="s">
        <v>458</v>
      </c>
      <c r="L8" s="991"/>
      <c r="M8" s="992"/>
      <c r="P8" s="997"/>
      <c r="S8" s="1000"/>
      <c r="V8" s="997"/>
      <c r="W8" s="998"/>
      <c r="X8" s="998"/>
      <c r="Y8" s="998"/>
      <c r="Z8" s="998"/>
    </row>
    <row r="9" spans="1:26" x14ac:dyDescent="0.3">
      <c r="A9" s="1005">
        <v>43220</v>
      </c>
      <c r="B9" s="986">
        <v>355000</v>
      </c>
      <c r="C9" s="987">
        <v>422000</v>
      </c>
      <c r="D9" s="986">
        <v>422000</v>
      </c>
      <c r="E9" s="988">
        <v>422000</v>
      </c>
      <c r="F9" s="999"/>
      <c r="G9" s="1006"/>
      <c r="H9" s="1006"/>
      <c r="I9" s="1006">
        <v>0</v>
      </c>
      <c r="J9" s="1007" t="s">
        <v>459</v>
      </c>
      <c r="K9" s="990" t="s">
        <v>460</v>
      </c>
      <c r="L9" s="991">
        <f t="shared" si="0"/>
        <v>0</v>
      </c>
      <c r="M9" s="992">
        <f t="shared" si="1"/>
        <v>0</v>
      </c>
      <c r="N9" s="1008"/>
      <c r="O9" s="995" t="s">
        <v>442</v>
      </c>
      <c r="P9" s="1003">
        <v>11900</v>
      </c>
      <c r="R9" s="981" t="s">
        <v>461</v>
      </c>
      <c r="S9" s="1000">
        <v>3600</v>
      </c>
      <c r="U9" s="981" t="s">
        <v>462</v>
      </c>
      <c r="V9" s="997">
        <v>37100</v>
      </c>
      <c r="W9" s="998">
        <f t="shared" si="2"/>
        <v>38000</v>
      </c>
      <c r="X9" s="998">
        <v>39200</v>
      </c>
      <c r="Y9" s="998">
        <f>ROUND(X9*Y2, -2)</f>
        <v>40600</v>
      </c>
      <c r="Z9" s="998">
        <f>ROUND(Y9*Z2, -2)</f>
        <v>42000</v>
      </c>
    </row>
    <row r="10" spans="1:26" x14ac:dyDescent="0.3">
      <c r="A10" s="1005">
        <v>43220</v>
      </c>
      <c r="B10" s="986">
        <v>960000</v>
      </c>
      <c r="C10" s="987">
        <v>1037300</v>
      </c>
      <c r="D10" s="986">
        <v>1169600</v>
      </c>
      <c r="E10" s="988">
        <v>865418</v>
      </c>
      <c r="F10" s="988">
        <v>865500</v>
      </c>
      <c r="G10" s="988">
        <v>1543653</v>
      </c>
      <c r="H10" s="988">
        <v>2500000</v>
      </c>
      <c r="I10" s="988">
        <v>2660000</v>
      </c>
      <c r="J10" s="1007" t="s">
        <v>463</v>
      </c>
      <c r="K10" s="990" t="s">
        <v>460</v>
      </c>
      <c r="L10" s="991">
        <f t="shared" si="0"/>
        <v>132300</v>
      </c>
      <c r="M10" s="992">
        <f t="shared" si="1"/>
        <v>0.12754265882579774</v>
      </c>
      <c r="N10" s="1008"/>
      <c r="P10" s="997"/>
      <c r="U10" s="981" t="s">
        <v>464</v>
      </c>
      <c r="V10" s="997">
        <v>392500</v>
      </c>
      <c r="W10" s="998">
        <f t="shared" si="2"/>
        <v>402300</v>
      </c>
      <c r="X10" s="998">
        <v>415400</v>
      </c>
      <c r="Y10" s="998">
        <f>ROUND(X10*Y2, -2)</f>
        <v>429900</v>
      </c>
      <c r="Z10" s="998">
        <f>ROUND(Y10*Z2, -2)</f>
        <v>444900</v>
      </c>
    </row>
    <row r="11" spans="1:26" x14ac:dyDescent="0.3">
      <c r="A11" s="1005">
        <v>43220</v>
      </c>
      <c r="B11" s="986"/>
      <c r="C11" s="987"/>
      <c r="D11" s="986">
        <v>232300</v>
      </c>
      <c r="E11" s="986"/>
      <c r="F11" s="986"/>
      <c r="G11" s="986"/>
      <c r="H11" s="986"/>
      <c r="I11" s="986"/>
      <c r="J11" s="1007" t="s">
        <v>465</v>
      </c>
      <c r="K11" s="1007"/>
      <c r="L11" s="991">
        <f t="shared" si="0"/>
        <v>232300</v>
      </c>
      <c r="M11" s="992">
        <f>L11/D11</f>
        <v>1</v>
      </c>
      <c r="N11" s="1008"/>
      <c r="O11" s="981" t="s">
        <v>466</v>
      </c>
      <c r="P11" s="997"/>
      <c r="U11" s="981" t="s">
        <v>467</v>
      </c>
      <c r="V11" s="997">
        <v>207800</v>
      </c>
      <c r="W11" s="998">
        <f t="shared" si="2"/>
        <v>213000</v>
      </c>
      <c r="X11" s="998">
        <v>219900</v>
      </c>
      <c r="Y11" s="998">
        <f>ROUND(X11*Y2, -2)</f>
        <v>227600</v>
      </c>
      <c r="Z11" s="998">
        <f>ROUND(Y11*Z2, -2)</f>
        <v>235600</v>
      </c>
    </row>
    <row r="12" spans="1:26" x14ac:dyDescent="0.3">
      <c r="A12" s="1005">
        <v>43210</v>
      </c>
      <c r="B12" s="986"/>
      <c r="C12" s="987">
        <v>729300</v>
      </c>
      <c r="D12" s="986">
        <v>405800</v>
      </c>
      <c r="E12" s="986"/>
      <c r="F12" s="986"/>
      <c r="G12" s="986"/>
      <c r="H12" s="986"/>
      <c r="I12" s="986"/>
      <c r="J12" s="1007" t="s">
        <v>468</v>
      </c>
      <c r="K12" s="1007" t="s">
        <v>469</v>
      </c>
      <c r="L12" s="991">
        <f t="shared" si="0"/>
        <v>-323500</v>
      </c>
      <c r="M12" s="992">
        <f t="shared" si="1"/>
        <v>-0.44357603181132593</v>
      </c>
      <c r="N12" s="1008"/>
      <c r="O12" s="1009" t="s">
        <v>254</v>
      </c>
      <c r="P12" s="1010">
        <v>21000</v>
      </c>
      <c r="Q12" s="1009" t="s">
        <v>470</v>
      </c>
      <c r="R12" s="1009"/>
      <c r="U12" s="981" t="s">
        <v>471</v>
      </c>
      <c r="V12" s="997">
        <v>39400</v>
      </c>
      <c r="W12" s="998">
        <f t="shared" si="2"/>
        <v>40400</v>
      </c>
      <c r="X12" s="998">
        <v>41700</v>
      </c>
      <c r="Y12" s="998">
        <f>ROUND(X12*Y2, -2)</f>
        <v>43200</v>
      </c>
      <c r="Z12" s="998">
        <f>ROUND(Y12*Z2, -2)</f>
        <v>44700</v>
      </c>
    </row>
    <row r="13" spans="1:26" x14ac:dyDescent="0.3">
      <c r="A13" s="1005">
        <v>43220</v>
      </c>
      <c r="B13" s="986"/>
      <c r="C13" s="987">
        <v>340000</v>
      </c>
      <c r="D13" s="986">
        <v>477800</v>
      </c>
      <c r="E13" s="986"/>
      <c r="F13" s="986"/>
      <c r="G13" s="986"/>
      <c r="H13" s="986"/>
      <c r="I13" s="986"/>
      <c r="J13" s="1007" t="s">
        <v>472</v>
      </c>
      <c r="K13" s="1011" t="s">
        <v>473</v>
      </c>
      <c r="L13" s="991">
        <f t="shared" si="0"/>
        <v>137800</v>
      </c>
      <c r="M13" s="992">
        <f t="shared" si="1"/>
        <v>0.4052941176470588</v>
      </c>
      <c r="N13" s="1008"/>
      <c r="O13" s="981" t="s">
        <v>174</v>
      </c>
      <c r="P13" s="997"/>
      <c r="U13" s="981" t="s">
        <v>474</v>
      </c>
      <c r="V13" s="997">
        <v>200800</v>
      </c>
      <c r="W13" s="998">
        <f t="shared" si="2"/>
        <v>205800</v>
      </c>
      <c r="X13" s="998">
        <v>212500</v>
      </c>
      <c r="Y13" s="998">
        <f>ROUND(X13*Y2, -2)</f>
        <v>219900</v>
      </c>
      <c r="Z13" s="998">
        <f>ROUND(Y13*Z2, -2)</f>
        <v>227600</v>
      </c>
    </row>
    <row r="14" spans="1:26" x14ac:dyDescent="0.3">
      <c r="A14" s="1012">
        <v>45010</v>
      </c>
      <c r="B14" s="986">
        <v>572700</v>
      </c>
      <c r="C14" s="987">
        <v>572700</v>
      </c>
      <c r="D14" s="986">
        <v>459800</v>
      </c>
      <c r="E14" s="1013">
        <f>485044+185000</f>
        <v>670044</v>
      </c>
      <c r="F14" s="1013">
        <v>585000</v>
      </c>
      <c r="G14" s="1013">
        <f>610118+500000</f>
        <v>1110118</v>
      </c>
      <c r="H14" s="1013">
        <v>1110118</v>
      </c>
      <c r="I14" s="1013">
        <f>510729+308898</f>
        <v>819627</v>
      </c>
      <c r="J14" s="1007" t="s">
        <v>475</v>
      </c>
      <c r="K14" s="1014" t="s">
        <v>476</v>
      </c>
      <c r="L14" s="991">
        <f t="shared" si="0"/>
        <v>-112900</v>
      </c>
      <c r="M14" s="992">
        <f t="shared" si="1"/>
        <v>-0.19713637157324951</v>
      </c>
      <c r="N14" s="1008"/>
      <c r="O14" s="981" t="s">
        <v>477</v>
      </c>
      <c r="P14" s="997">
        <v>277500</v>
      </c>
      <c r="U14" s="981" t="s">
        <v>478</v>
      </c>
      <c r="V14" s="997">
        <v>81700</v>
      </c>
      <c r="W14" s="998">
        <f t="shared" si="2"/>
        <v>83700</v>
      </c>
      <c r="X14" s="998">
        <v>86400</v>
      </c>
      <c r="Y14" s="998">
        <f>ROUND(X14*Y2, -2)</f>
        <v>89400</v>
      </c>
      <c r="Z14" s="998">
        <f>ROUND(Y14*Z2, -2)</f>
        <v>92500</v>
      </c>
    </row>
    <row r="15" spans="1:26" x14ac:dyDescent="0.3">
      <c r="A15" s="1012">
        <v>45010</v>
      </c>
      <c r="B15" s="986"/>
      <c r="C15" s="1001">
        <v>223000</v>
      </c>
      <c r="D15" s="1015">
        <v>223000</v>
      </c>
      <c r="E15" s="1016">
        <f>185329+79891</f>
        <v>265220</v>
      </c>
      <c r="F15" s="1016">
        <v>81000</v>
      </c>
      <c r="G15" s="1016">
        <v>79511</v>
      </c>
      <c r="H15" s="1017">
        <v>102929</v>
      </c>
      <c r="I15" s="1017">
        <v>100084</v>
      </c>
      <c r="J15" s="1007" t="s">
        <v>479</v>
      </c>
      <c r="K15" s="1018" t="s">
        <v>480</v>
      </c>
      <c r="L15" s="991">
        <f t="shared" si="0"/>
        <v>0</v>
      </c>
      <c r="M15" s="992">
        <f t="shared" si="1"/>
        <v>0</v>
      </c>
      <c r="N15" s="1008"/>
      <c r="P15" s="997"/>
      <c r="U15" s="981" t="s">
        <v>481</v>
      </c>
      <c r="V15" s="997">
        <v>115500</v>
      </c>
      <c r="W15" s="998">
        <f t="shared" si="2"/>
        <v>118400</v>
      </c>
      <c r="X15" s="998">
        <v>122200</v>
      </c>
      <c r="Y15" s="998">
        <f>ROUND(X15*Y2, -2)</f>
        <v>126500</v>
      </c>
      <c r="Z15" s="998">
        <f>ROUND(Y15*Z2, -2)</f>
        <v>130900</v>
      </c>
    </row>
    <row r="16" spans="1:26" x14ac:dyDescent="0.3">
      <c r="A16" s="1012">
        <v>45010</v>
      </c>
      <c r="B16" s="986"/>
      <c r="C16" s="987">
        <v>0</v>
      </c>
      <c r="D16" s="986">
        <v>0</v>
      </c>
      <c r="E16" s="986"/>
      <c r="F16" s="986"/>
      <c r="G16" s="986"/>
      <c r="H16" s="986"/>
      <c r="I16" s="986"/>
      <c r="J16" s="1007" t="s">
        <v>482</v>
      </c>
      <c r="K16" s="1018"/>
      <c r="L16" s="991">
        <f t="shared" si="0"/>
        <v>0</v>
      </c>
      <c r="M16" s="992">
        <v>0</v>
      </c>
      <c r="N16" s="1008"/>
      <c r="P16" s="997"/>
      <c r="U16" s="981" t="s">
        <v>483</v>
      </c>
      <c r="V16" s="997">
        <v>11000</v>
      </c>
      <c r="W16" s="998">
        <f t="shared" si="2"/>
        <v>11300</v>
      </c>
      <c r="X16" s="998">
        <v>11700</v>
      </c>
      <c r="Y16" s="998">
        <f>ROUND(X16*Y2, -2)</f>
        <v>12100</v>
      </c>
      <c r="Z16" s="998">
        <f>ROUND(Y16*Z2, -2)</f>
        <v>12500</v>
      </c>
    </row>
    <row r="17" spans="1:26" x14ac:dyDescent="0.3">
      <c r="A17" s="1012">
        <v>45010</v>
      </c>
      <c r="B17" s="986"/>
      <c r="C17" s="987"/>
      <c r="D17" s="986"/>
      <c r="E17" s="986"/>
      <c r="F17" s="986"/>
      <c r="G17" s="986"/>
      <c r="H17" s="986"/>
      <c r="I17" s="986"/>
      <c r="J17" s="1007" t="s">
        <v>484</v>
      </c>
      <c r="K17" s="1018"/>
      <c r="L17" s="991">
        <f t="shared" si="0"/>
        <v>0</v>
      </c>
      <c r="M17" s="992">
        <v>0</v>
      </c>
      <c r="N17" s="1008"/>
      <c r="U17" s="981" t="s">
        <v>485</v>
      </c>
      <c r="V17" s="997"/>
      <c r="W17" s="998"/>
      <c r="X17" s="998">
        <v>250000</v>
      </c>
      <c r="Y17" s="998">
        <v>230000</v>
      </c>
      <c r="Z17" s="998">
        <v>230000</v>
      </c>
    </row>
    <row r="18" spans="1:26" ht="24" x14ac:dyDescent="0.3">
      <c r="A18" s="1012">
        <v>45010</v>
      </c>
      <c r="B18" s="986"/>
      <c r="C18" s="987"/>
      <c r="D18" s="986"/>
      <c r="E18" s="986"/>
      <c r="F18" s="986"/>
      <c r="G18" s="986"/>
      <c r="H18" s="986">
        <v>3966642</v>
      </c>
      <c r="I18" s="986">
        <f>891367+3926487.44</f>
        <v>4817854.4399999995</v>
      </c>
      <c r="J18" s="1007" t="s">
        <v>486</v>
      </c>
      <c r="K18" s="1019" t="s">
        <v>487</v>
      </c>
      <c r="L18" s="991">
        <f t="shared" si="0"/>
        <v>0</v>
      </c>
      <c r="M18" s="992">
        <v>0</v>
      </c>
      <c r="N18" s="1008"/>
      <c r="U18" s="981" t="s">
        <v>488</v>
      </c>
      <c r="V18" s="997">
        <v>68706.399999999994</v>
      </c>
      <c r="W18" s="998">
        <v>118146.4</v>
      </c>
      <c r="X18" s="998">
        <v>122000</v>
      </c>
      <c r="Y18" s="998">
        <f>ROUND(X18*Y2, -2)</f>
        <v>126300</v>
      </c>
      <c r="Z18" s="998">
        <f>ROUND(Y18*Z2, -2)</f>
        <v>130700</v>
      </c>
    </row>
    <row r="19" spans="1:26" x14ac:dyDescent="0.3">
      <c r="A19" s="985">
        <v>45010</v>
      </c>
      <c r="B19" s="986">
        <v>214800</v>
      </c>
      <c r="C19" s="987">
        <v>189300</v>
      </c>
      <c r="D19" s="1017">
        <v>0</v>
      </c>
      <c r="E19" s="1020">
        <f>233079</f>
        <v>233079</v>
      </c>
      <c r="F19" s="1020">
        <f>262855</f>
        <v>262855</v>
      </c>
      <c r="G19" s="1020">
        <f>284793</f>
        <v>284793</v>
      </c>
      <c r="H19" s="1020">
        <v>288746</v>
      </c>
      <c r="I19" s="1020">
        <v>296055</v>
      </c>
      <c r="J19" s="989" t="s">
        <v>489</v>
      </c>
      <c r="K19" s="1018" t="s">
        <v>490</v>
      </c>
      <c r="L19" s="991">
        <f t="shared" si="0"/>
        <v>-189300</v>
      </c>
      <c r="M19" s="992">
        <f t="shared" si="1"/>
        <v>-1</v>
      </c>
      <c r="N19" s="1008"/>
      <c r="U19" s="981" t="s">
        <v>491</v>
      </c>
      <c r="V19" s="997">
        <f>SUM(V4:V18)</f>
        <v>1699106.4</v>
      </c>
      <c r="W19" s="997">
        <f>SUM(W4:W18)</f>
        <v>1789246.4</v>
      </c>
      <c r="X19" s="997">
        <f>SUM(X3:X18)</f>
        <v>2247300</v>
      </c>
      <c r="Y19" s="997">
        <f>SUM(Y3:Y18)</f>
        <v>2292100</v>
      </c>
      <c r="Z19" s="997">
        <f>SUM(Z3:Z18)</f>
        <v>2358900</v>
      </c>
    </row>
    <row r="20" spans="1:26" x14ac:dyDescent="0.3">
      <c r="A20" s="985">
        <v>45010</v>
      </c>
      <c r="B20" s="986">
        <v>60000</v>
      </c>
      <c r="C20" s="987">
        <f>S22</f>
        <v>60000</v>
      </c>
      <c r="D20" s="986">
        <v>60000</v>
      </c>
      <c r="E20" s="986">
        <v>60000</v>
      </c>
      <c r="F20" s="986">
        <v>60000</v>
      </c>
      <c r="G20" s="986">
        <v>60000</v>
      </c>
      <c r="H20" s="986">
        <v>60000</v>
      </c>
      <c r="I20" s="986">
        <v>47900</v>
      </c>
      <c r="J20" s="1007" t="s">
        <v>492</v>
      </c>
      <c r="K20" s="1018" t="s">
        <v>493</v>
      </c>
      <c r="L20" s="991">
        <f t="shared" si="0"/>
        <v>0</v>
      </c>
      <c r="M20" s="992">
        <f t="shared" si="1"/>
        <v>0</v>
      </c>
      <c r="N20" s="1008"/>
      <c r="V20" s="997"/>
      <c r="W20" s="997"/>
    </row>
    <row r="21" spans="1:26" x14ac:dyDescent="0.3">
      <c r="A21" s="985">
        <v>45010</v>
      </c>
      <c r="B21" s="986">
        <v>0</v>
      </c>
      <c r="C21" s="987"/>
      <c r="D21" s="986">
        <v>0</v>
      </c>
      <c r="E21" s="986">
        <v>837572</v>
      </c>
      <c r="F21" s="986">
        <v>1000000</v>
      </c>
      <c r="G21" s="986">
        <v>1500000</v>
      </c>
      <c r="H21" s="986">
        <v>1296823</v>
      </c>
      <c r="I21" s="986">
        <v>1300000</v>
      </c>
      <c r="J21" s="1007" t="s">
        <v>494</v>
      </c>
      <c r="K21" s="1018" t="s">
        <v>495</v>
      </c>
      <c r="L21" s="991">
        <f t="shared" si="0"/>
        <v>0</v>
      </c>
      <c r="M21" s="992" t="e">
        <f t="shared" si="1"/>
        <v>#DIV/0!</v>
      </c>
      <c r="N21" s="1008"/>
    </row>
    <row r="22" spans="1:26" x14ac:dyDescent="0.3">
      <c r="A22" s="985">
        <v>45010</v>
      </c>
      <c r="B22" s="986">
        <v>182300</v>
      </c>
      <c r="C22" s="987">
        <v>181200</v>
      </c>
      <c r="D22" s="986">
        <v>182300</v>
      </c>
      <c r="E22" s="986">
        <v>182300</v>
      </c>
      <c r="F22" s="986">
        <v>182300</v>
      </c>
      <c r="G22" s="986">
        <v>186049</v>
      </c>
      <c r="H22" s="986">
        <f>193402+63000</f>
        <v>256402</v>
      </c>
      <c r="I22" s="986">
        <v>230478</v>
      </c>
      <c r="J22" s="1007" t="s">
        <v>496</v>
      </c>
      <c r="K22" s="1018" t="s">
        <v>497</v>
      </c>
      <c r="L22" s="991">
        <f t="shared" si="0"/>
        <v>1100</v>
      </c>
      <c r="M22" s="992">
        <f t="shared" si="1"/>
        <v>6.0706401766004413E-3</v>
      </c>
      <c r="N22" s="1008"/>
      <c r="O22" s="981" t="s">
        <v>491</v>
      </c>
      <c r="P22" s="997">
        <f>SUM(P3:P21)</f>
        <v>451700</v>
      </c>
      <c r="R22" s="981" t="s">
        <v>491</v>
      </c>
      <c r="S22" s="997">
        <f>SUM(S3:S21)</f>
        <v>60000</v>
      </c>
      <c r="V22" s="997"/>
      <c r="W22" s="997"/>
    </row>
    <row r="23" spans="1:26" x14ac:dyDescent="0.3">
      <c r="A23" s="985">
        <v>45010</v>
      </c>
      <c r="B23" s="986">
        <v>62000</v>
      </c>
      <c r="C23" s="987">
        <v>63000</v>
      </c>
      <c r="D23" s="986">
        <v>62300</v>
      </c>
      <c r="E23" s="986">
        <v>62300</v>
      </c>
      <c r="F23" s="986">
        <v>62300</v>
      </c>
      <c r="G23" s="986">
        <v>63000</v>
      </c>
      <c r="H23" s="986">
        <v>0</v>
      </c>
      <c r="I23" s="986">
        <v>0</v>
      </c>
      <c r="J23" s="989" t="s">
        <v>498</v>
      </c>
      <c r="K23" s="1018" t="s">
        <v>499</v>
      </c>
      <c r="L23" s="991">
        <f t="shared" si="0"/>
        <v>-700</v>
      </c>
      <c r="M23" s="992">
        <f t="shared" si="1"/>
        <v>-1.1111111111111112E-2</v>
      </c>
      <c r="N23" s="1008"/>
    </row>
    <row r="24" spans="1:26" x14ac:dyDescent="0.3">
      <c r="A24" s="985">
        <v>45010</v>
      </c>
      <c r="B24" s="986">
        <v>1000</v>
      </c>
      <c r="C24" s="987">
        <v>1000</v>
      </c>
      <c r="D24" s="1013">
        <v>0</v>
      </c>
      <c r="E24" s="1013"/>
      <c r="F24" s="1013"/>
      <c r="G24" s="1013"/>
      <c r="H24" s="1013"/>
      <c r="I24" s="1013"/>
      <c r="J24" s="989" t="s">
        <v>500</v>
      </c>
      <c r="K24" s="1018"/>
      <c r="L24" s="991">
        <f t="shared" si="0"/>
        <v>-1000</v>
      </c>
      <c r="M24" s="992">
        <f t="shared" si="1"/>
        <v>-1</v>
      </c>
      <c r="N24" s="1008"/>
      <c r="O24" s="981" t="s">
        <v>501</v>
      </c>
      <c r="P24" s="998">
        <f>P4+P5+P7+P14</f>
        <v>416500</v>
      </c>
      <c r="U24" s="981" t="s">
        <v>502</v>
      </c>
      <c r="W24" s="997">
        <v>172900</v>
      </c>
    </row>
    <row r="25" spans="1:26" x14ac:dyDescent="0.3">
      <c r="A25" s="1005">
        <v>46320</v>
      </c>
      <c r="B25" s="986">
        <f>475700-B30</f>
        <v>268200</v>
      </c>
      <c r="C25" s="987">
        <f>523000-D30</f>
        <v>294800</v>
      </c>
      <c r="D25" s="1013">
        <f>523000-D30</f>
        <v>294800</v>
      </c>
      <c r="E25" s="1013">
        <v>287200</v>
      </c>
      <c r="F25" s="1013">
        <v>287200</v>
      </c>
      <c r="G25" s="1013">
        <f>425887.21-250000</f>
        <v>175887.21000000002</v>
      </c>
      <c r="H25" s="1013">
        <v>148500</v>
      </c>
      <c r="I25" s="1013">
        <v>139000</v>
      </c>
      <c r="J25" s="989" t="s">
        <v>503</v>
      </c>
      <c r="K25" s="1018" t="s">
        <v>504</v>
      </c>
      <c r="L25" s="991">
        <f t="shared" si="0"/>
        <v>0</v>
      </c>
      <c r="M25" s="992">
        <f t="shared" si="1"/>
        <v>0</v>
      </c>
      <c r="N25" s="1008"/>
      <c r="U25" s="981" t="s">
        <v>505</v>
      </c>
      <c r="W25" s="998">
        <f>W22+W24</f>
        <v>172900</v>
      </c>
    </row>
    <row r="26" spans="1:26" x14ac:dyDescent="0.3">
      <c r="A26" s="985">
        <v>49060</v>
      </c>
      <c r="B26" s="986"/>
      <c r="C26" s="987"/>
      <c r="D26" s="986"/>
      <c r="E26" s="986"/>
      <c r="F26" s="986"/>
      <c r="G26" s="986"/>
      <c r="H26" s="986"/>
      <c r="I26" s="986"/>
      <c r="J26" s="989" t="s">
        <v>506</v>
      </c>
      <c r="K26" s="1018"/>
      <c r="L26" s="991">
        <f t="shared" si="0"/>
        <v>0</v>
      </c>
      <c r="M26" s="992">
        <v>0</v>
      </c>
      <c r="N26" s="1008"/>
    </row>
    <row r="27" spans="1:26" x14ac:dyDescent="0.3">
      <c r="A27" s="1012">
        <v>49060</v>
      </c>
      <c r="B27" s="986"/>
      <c r="C27" s="987"/>
      <c r="D27" s="986"/>
      <c r="E27" s="986"/>
      <c r="F27" s="986"/>
      <c r="G27" s="986">
        <v>2800000</v>
      </c>
      <c r="H27" s="986">
        <v>2899000</v>
      </c>
      <c r="I27" s="986">
        <v>2900000</v>
      </c>
      <c r="J27" s="989" t="s">
        <v>507</v>
      </c>
      <c r="K27" s="1018"/>
      <c r="L27" s="991">
        <f t="shared" si="0"/>
        <v>0</v>
      </c>
      <c r="M27" s="992">
        <v>0</v>
      </c>
      <c r="N27" s="1008"/>
      <c r="U27" s="981" t="s">
        <v>508</v>
      </c>
    </row>
    <row r="28" spans="1:26" x14ac:dyDescent="0.3">
      <c r="A28" s="1012">
        <v>49060</v>
      </c>
      <c r="B28" s="986">
        <v>200000</v>
      </c>
      <c r="C28" s="987">
        <f>V3</f>
        <v>200000</v>
      </c>
      <c r="D28" s="986">
        <v>200000</v>
      </c>
      <c r="E28" s="986">
        <v>150000</v>
      </c>
      <c r="F28" s="986">
        <v>150000</v>
      </c>
      <c r="G28" s="986">
        <v>150000</v>
      </c>
      <c r="H28" s="986">
        <v>150000</v>
      </c>
      <c r="I28" s="986">
        <v>150000</v>
      </c>
      <c r="J28" s="1021" t="s">
        <v>509</v>
      </c>
      <c r="K28" s="1018" t="s">
        <v>510</v>
      </c>
      <c r="L28" s="991">
        <f t="shared" si="0"/>
        <v>0</v>
      </c>
      <c r="M28" s="992">
        <f t="shared" si="1"/>
        <v>0</v>
      </c>
      <c r="N28" s="1008"/>
      <c r="U28" s="1022" t="s">
        <v>511</v>
      </c>
      <c r="V28" s="1023" t="s">
        <v>512</v>
      </c>
      <c r="W28" s="1023" t="s">
        <v>513</v>
      </c>
    </row>
    <row r="29" spans="1:26" x14ac:dyDescent="0.3">
      <c r="A29" s="1012">
        <v>49060</v>
      </c>
      <c r="B29" s="986">
        <v>1630400</v>
      </c>
      <c r="C29" s="987">
        <v>1671100</v>
      </c>
      <c r="D29" s="986">
        <v>1721200</v>
      </c>
      <c r="E29" s="986">
        <v>1785800</v>
      </c>
      <c r="F29" s="986">
        <v>1848200</v>
      </c>
      <c r="G29" s="986">
        <v>1912900</v>
      </c>
      <c r="H29" s="986">
        <v>1879200</v>
      </c>
      <c r="I29" s="986">
        <v>1874954</v>
      </c>
      <c r="J29" s="1024" t="s">
        <v>514</v>
      </c>
      <c r="K29" s="1018" t="s">
        <v>515</v>
      </c>
      <c r="L29" s="991">
        <f t="shared" si="0"/>
        <v>50100</v>
      </c>
      <c r="M29" s="992">
        <f t="shared" si="1"/>
        <v>2.9980252528274787E-2</v>
      </c>
      <c r="N29" s="1008"/>
      <c r="U29" s="981" t="s">
        <v>516</v>
      </c>
      <c r="V29" s="981">
        <v>10.5</v>
      </c>
      <c r="W29" s="1025">
        <f>V29/V$34</f>
        <v>0.32792004996876956</v>
      </c>
    </row>
    <row r="30" spans="1:26" x14ac:dyDescent="0.3">
      <c r="A30" s="1012">
        <v>49060</v>
      </c>
      <c r="B30" s="986">
        <v>207500</v>
      </c>
      <c r="C30" s="987">
        <v>172900</v>
      </c>
      <c r="D30" s="986">
        <v>228200</v>
      </c>
      <c r="E30" s="986">
        <v>230000</v>
      </c>
      <c r="F30" s="986">
        <v>230000</v>
      </c>
      <c r="G30" s="986">
        <v>250000</v>
      </c>
      <c r="H30" s="986">
        <v>277500</v>
      </c>
      <c r="I30" s="986">
        <v>277500</v>
      </c>
      <c r="J30" s="1024" t="s">
        <v>517</v>
      </c>
      <c r="K30" s="1018" t="s">
        <v>518</v>
      </c>
      <c r="L30" s="991">
        <f t="shared" si="0"/>
        <v>55300</v>
      </c>
      <c r="M30" s="992">
        <f t="shared" si="1"/>
        <v>0.31983805668016196</v>
      </c>
      <c r="N30" s="1008"/>
      <c r="U30" s="981" t="s">
        <v>519</v>
      </c>
      <c r="V30" s="981">
        <v>11.58</v>
      </c>
      <c r="W30" s="1025">
        <f t="shared" ref="W30:W33" si="3">V30/V$34</f>
        <v>0.36164896939412872</v>
      </c>
    </row>
    <row r="31" spans="1:26" x14ac:dyDescent="0.3">
      <c r="A31" s="1012">
        <v>49060</v>
      </c>
      <c r="B31" s="986">
        <v>68706</v>
      </c>
      <c r="C31" s="987">
        <v>118146.4</v>
      </c>
      <c r="D31" s="986">
        <v>121700</v>
      </c>
      <c r="E31" s="986">
        <v>126300</v>
      </c>
      <c r="F31" s="986">
        <v>130700</v>
      </c>
      <c r="G31" s="986">
        <v>135300</v>
      </c>
      <c r="H31" s="986">
        <v>140700</v>
      </c>
      <c r="I31" s="986">
        <v>144946</v>
      </c>
      <c r="J31" s="1024" t="s">
        <v>520</v>
      </c>
      <c r="K31" s="1018"/>
      <c r="L31" s="991"/>
      <c r="M31" s="992"/>
      <c r="N31" s="1008"/>
      <c r="W31" s="1025"/>
    </row>
    <row r="32" spans="1:26" x14ac:dyDescent="0.3">
      <c r="A32" s="1012">
        <v>49060</v>
      </c>
      <c r="B32" s="986"/>
      <c r="C32" s="1001">
        <v>210000</v>
      </c>
      <c r="D32" s="1013"/>
      <c r="E32" s="1013"/>
      <c r="F32" s="1013"/>
      <c r="G32" s="1013"/>
      <c r="H32" s="1013"/>
      <c r="I32" s="1013"/>
      <c r="J32" s="1024" t="s">
        <v>521</v>
      </c>
      <c r="K32" s="1018" t="s">
        <v>522</v>
      </c>
      <c r="L32" s="991">
        <f t="shared" si="0"/>
        <v>-210000</v>
      </c>
      <c r="M32" s="992">
        <f t="shared" si="1"/>
        <v>-1</v>
      </c>
      <c r="N32" s="1008"/>
      <c r="U32" s="981" t="s">
        <v>523</v>
      </c>
      <c r="V32" s="981">
        <v>8.82</v>
      </c>
      <c r="W32" s="1025">
        <f t="shared" si="3"/>
        <v>0.27545284197376646</v>
      </c>
    </row>
    <row r="33" spans="1:23" x14ac:dyDescent="0.3">
      <c r="A33" s="985">
        <v>49080</v>
      </c>
      <c r="B33" s="986">
        <v>50000</v>
      </c>
      <c r="C33" s="987">
        <v>50000</v>
      </c>
      <c r="D33" s="1013">
        <v>50000</v>
      </c>
      <c r="E33" s="988">
        <v>50000</v>
      </c>
      <c r="F33" s="988">
        <v>50000</v>
      </c>
      <c r="G33" s="988">
        <v>50000</v>
      </c>
      <c r="H33" s="988">
        <v>50000</v>
      </c>
      <c r="I33" s="988">
        <v>0</v>
      </c>
      <c r="J33" s="989" t="s">
        <v>524</v>
      </c>
      <c r="K33" s="1018" t="s">
        <v>525</v>
      </c>
      <c r="L33" s="991">
        <f t="shared" si="0"/>
        <v>0</v>
      </c>
      <c r="M33" s="992">
        <f t="shared" si="1"/>
        <v>0</v>
      </c>
      <c r="N33" s="1008"/>
      <c r="U33" s="981" t="s">
        <v>526</v>
      </c>
      <c r="V33" s="981">
        <v>1.1200000000000001</v>
      </c>
      <c r="W33" s="1025">
        <f t="shared" si="3"/>
        <v>3.497813866333542E-2</v>
      </c>
    </row>
    <row r="34" spans="1:23" x14ac:dyDescent="0.3">
      <c r="A34" s="990" t="s">
        <v>491</v>
      </c>
      <c r="B34" s="991">
        <f t="shared" ref="B34:G34" si="4">SUM(B3:B33)</f>
        <v>6728606</v>
      </c>
      <c r="C34" s="1026">
        <f t="shared" si="4"/>
        <v>8814646.4000000004</v>
      </c>
      <c r="D34" s="991">
        <f t="shared" si="4"/>
        <v>8657700</v>
      </c>
      <c r="E34" s="991">
        <f t="shared" si="4"/>
        <v>8375681</v>
      </c>
      <c r="F34" s="991">
        <f t="shared" si="4"/>
        <v>8234645</v>
      </c>
      <c r="G34" s="991">
        <f t="shared" si="4"/>
        <v>17759249.210000001</v>
      </c>
      <c r="H34" s="991">
        <f>SUM(H3:H33)</f>
        <v>17600379</v>
      </c>
      <c r="I34" s="991">
        <f>SUM(I3:I32)</f>
        <v>18826029.439999998</v>
      </c>
      <c r="J34" s="990"/>
      <c r="K34" s="990"/>
      <c r="L34" s="991">
        <f t="shared" ref="L34" si="5">C34-B34</f>
        <v>2086040.4000000004</v>
      </c>
      <c r="M34" s="992">
        <f t="shared" ref="M34" si="6">L34/B34</f>
        <v>0.31002564275572092</v>
      </c>
      <c r="U34" s="981" t="s">
        <v>491</v>
      </c>
      <c r="V34" s="981">
        <f>SUM(V29:V33)</f>
        <v>32.019999999999996</v>
      </c>
    </row>
    <row r="35" spans="1:23" x14ac:dyDescent="0.3">
      <c r="B35" s="981" t="s">
        <v>527</v>
      </c>
      <c r="C35" s="1027">
        <f>C34-C32-C15-C6</f>
        <v>8239646.4000000004</v>
      </c>
      <c r="D35" s="1027">
        <f>D34-D15-D6</f>
        <v>7888700</v>
      </c>
      <c r="E35" s="1027">
        <f>E34-E15-E6</f>
        <v>8110461</v>
      </c>
      <c r="F35" s="1027">
        <f>F34-F15</f>
        <v>8153645</v>
      </c>
      <c r="G35" s="1027">
        <f>G34-G15-G8-G6</f>
        <v>12621902.210000001</v>
      </c>
      <c r="H35" s="1027">
        <f>H3+H4+H7+H10+H14+H15+H19+H20+985285+H25+H27+H28+H29+H30+H31</f>
        <v>13015797</v>
      </c>
      <c r="I35" s="1027"/>
      <c r="U35" s="1028" t="s">
        <v>528</v>
      </c>
    </row>
    <row r="36" spans="1:23" x14ac:dyDescent="0.3">
      <c r="C36" s="995" t="s">
        <v>529</v>
      </c>
      <c r="D36" s="995" t="s">
        <v>527</v>
      </c>
      <c r="E36" s="995" t="s">
        <v>527</v>
      </c>
      <c r="F36" s="995" t="s">
        <v>527</v>
      </c>
      <c r="G36" s="995" t="s">
        <v>527</v>
      </c>
      <c r="H36" s="995" t="s">
        <v>527</v>
      </c>
      <c r="I36" s="995"/>
    </row>
    <row r="37" spans="1:23" x14ac:dyDescent="0.3">
      <c r="H37" s="998">
        <f>H35-H27-985285</f>
        <v>9131512</v>
      </c>
      <c r="I37" s="998"/>
      <c r="J37" s="998">
        <f>SUM(I27:I31)</f>
        <v>5347400</v>
      </c>
    </row>
    <row r="38" spans="1:23" x14ac:dyDescent="0.3">
      <c r="H38" s="981" t="s">
        <v>530</v>
      </c>
      <c r="J38" s="981">
        <f>I27/$J$37</f>
        <v>0.54231963197067734</v>
      </c>
    </row>
    <row r="39" spans="1:23" x14ac:dyDescent="0.3">
      <c r="D39" s="981" t="s">
        <v>527</v>
      </c>
      <c r="E39" s="981" t="s">
        <v>527</v>
      </c>
      <c r="J39" s="981">
        <f t="shared" ref="J39:J40" si="7">I28/$J$37</f>
        <v>2.8051015446759173E-2</v>
      </c>
    </row>
    <row r="40" spans="1:23" x14ac:dyDescent="0.3">
      <c r="A40" s="1029" t="s">
        <v>531</v>
      </c>
      <c r="J40" s="981">
        <f t="shared" si="7"/>
        <v>0.35062909077308596</v>
      </c>
    </row>
    <row r="41" spans="1:23" x14ac:dyDescent="0.3">
      <c r="A41" s="1029" t="s">
        <v>532</v>
      </c>
      <c r="J41" s="981">
        <f>I30/$J$37</f>
        <v>5.1894378576504467E-2</v>
      </c>
    </row>
    <row r="42" spans="1:23" x14ac:dyDescent="0.3">
      <c r="A42" s="1029" t="s">
        <v>533</v>
      </c>
      <c r="J42" s="981">
        <f>I31/$J$37</f>
        <v>2.7105883232973034E-2</v>
      </c>
    </row>
    <row r="43" spans="1:23" x14ac:dyDescent="0.3">
      <c r="A43" s="1029" t="s">
        <v>534</v>
      </c>
    </row>
    <row r="44" spans="1:23" x14ac:dyDescent="0.3">
      <c r="A44" s="1029" t="s">
        <v>535</v>
      </c>
    </row>
    <row r="45" spans="1:23" x14ac:dyDescent="0.3">
      <c r="A45" s="1029" t="s">
        <v>252</v>
      </c>
    </row>
    <row r="46" spans="1:23" x14ac:dyDescent="0.3">
      <c r="A46" s="1029" t="s">
        <v>254</v>
      </c>
    </row>
    <row r="47" spans="1:23" x14ac:dyDescent="0.3">
      <c r="A47" s="1029" t="s">
        <v>536</v>
      </c>
    </row>
    <row r="48" spans="1:23" x14ac:dyDescent="0.3">
      <c r="A48" s="1029" t="s">
        <v>537</v>
      </c>
    </row>
    <row r="49" spans="1:1" x14ac:dyDescent="0.3">
      <c r="A49" s="1029" t="s">
        <v>538</v>
      </c>
    </row>
    <row r="50" spans="1:1" x14ac:dyDescent="0.3">
      <c r="A50" s="1029" t="s">
        <v>450</v>
      </c>
    </row>
    <row r="51" spans="1:1" x14ac:dyDescent="0.3">
      <c r="A51" s="1029" t="s">
        <v>539</v>
      </c>
    </row>
    <row r="52" spans="1:1" x14ac:dyDescent="0.3">
      <c r="A52" s="1029" t="s">
        <v>442</v>
      </c>
    </row>
    <row r="53" spans="1:1" x14ac:dyDescent="0.3">
      <c r="A53" s="1029" t="s">
        <v>540</v>
      </c>
    </row>
    <row r="54" spans="1:1" x14ac:dyDescent="0.3">
      <c r="A54" s="1029" t="s">
        <v>541</v>
      </c>
    </row>
    <row r="89" spans="8:8" x14ac:dyDescent="0.3">
      <c r="H89" s="981">
        <v>-1890557</v>
      </c>
    </row>
  </sheetData>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3A8E-C7A0-4273-B311-591305D46467}">
  <dimension ref="B4:V46"/>
  <sheetViews>
    <sheetView zoomScale="77" zoomScaleNormal="77" workbookViewId="0">
      <selection activeCell="F22" sqref="F22"/>
    </sheetView>
  </sheetViews>
  <sheetFormatPr defaultRowHeight="14.4" x14ac:dyDescent="0.3"/>
  <cols>
    <col min="3" max="3" width="28.88671875" customWidth="1"/>
    <col min="4" max="5" width="10.5546875" style="361" bestFit="1" customWidth="1"/>
    <col min="6" max="6" width="9.109375" style="361"/>
    <col min="8" max="8" width="21.44140625" customWidth="1"/>
    <col min="9" max="9" width="11.44140625" style="361" customWidth="1"/>
    <col min="10" max="10" width="9.5546875" style="361" bestFit="1" customWidth="1"/>
    <col min="11" max="11" width="9.109375" style="361"/>
    <col min="14" max="14" width="21.44140625" customWidth="1"/>
    <col min="19" max="19" width="34.88671875" customWidth="1"/>
    <col min="20" max="20" width="10.88671875" customWidth="1"/>
    <col min="21" max="22" width="10.5546875" customWidth="1"/>
  </cols>
  <sheetData>
    <row r="4" spans="2:22" x14ac:dyDescent="0.3">
      <c r="C4" t="s">
        <v>688</v>
      </c>
    </row>
    <row r="6" spans="2:22" ht="18" x14ac:dyDescent="0.35">
      <c r="C6" s="374" t="s">
        <v>642</v>
      </c>
      <c r="G6" s="374" t="s">
        <v>700</v>
      </c>
      <c r="M6" s="374" t="s">
        <v>720</v>
      </c>
      <c r="S6" t="s">
        <v>738</v>
      </c>
    </row>
    <row r="7" spans="2:22" x14ac:dyDescent="0.3">
      <c r="E7" s="361" t="s">
        <v>377</v>
      </c>
      <c r="F7" s="361" t="s">
        <v>719</v>
      </c>
      <c r="I7" s="361" t="s">
        <v>717</v>
      </c>
      <c r="J7" s="361" t="s">
        <v>432</v>
      </c>
      <c r="K7" s="361" t="s">
        <v>718</v>
      </c>
      <c r="O7" s="361" t="s">
        <v>717</v>
      </c>
      <c r="P7" s="361" t="s">
        <v>432</v>
      </c>
      <c r="Q7" s="361" t="s">
        <v>718</v>
      </c>
      <c r="T7" s="361" t="s">
        <v>717</v>
      </c>
      <c r="U7" s="361" t="s">
        <v>432</v>
      </c>
      <c r="V7" s="361" t="str">
        <f>Q7</f>
        <v>26-27 B</v>
      </c>
    </row>
    <row r="8" spans="2:22" s="116" customFormat="1" x14ac:dyDescent="0.3">
      <c r="B8" s="116" t="s">
        <v>168</v>
      </c>
      <c r="C8" s="116" t="s">
        <v>689</v>
      </c>
      <c r="E8" s="1130" t="s">
        <v>690</v>
      </c>
      <c r="F8" s="1130"/>
      <c r="G8" s="116" t="s">
        <v>168</v>
      </c>
      <c r="H8" s="116" t="s">
        <v>689</v>
      </c>
      <c r="I8" s="1130" t="s">
        <v>690</v>
      </c>
      <c r="J8" s="1130"/>
      <c r="K8" s="1130"/>
      <c r="M8" s="116" t="s">
        <v>168</v>
      </c>
      <c r="N8" s="116" t="s">
        <v>689</v>
      </c>
      <c r="O8" s="1130" t="s">
        <v>690</v>
      </c>
      <c r="P8" s="1130"/>
      <c r="Q8" s="1130"/>
      <c r="T8" s="1130" t="s">
        <v>690</v>
      </c>
      <c r="U8" s="1130"/>
    </row>
    <row r="9" spans="2:22" x14ac:dyDescent="0.3">
      <c r="C9" t="s">
        <v>477</v>
      </c>
      <c r="E9" s="361">
        <v>152612</v>
      </c>
      <c r="F9" s="361">
        <v>162595</v>
      </c>
      <c r="H9" t="s">
        <v>701</v>
      </c>
      <c r="I9" s="361">
        <v>105495</v>
      </c>
      <c r="J9" s="361">
        <v>120694</v>
      </c>
      <c r="K9" s="361">
        <v>125267</v>
      </c>
      <c r="N9" t="s">
        <v>707</v>
      </c>
      <c r="O9" s="361">
        <v>59375</v>
      </c>
      <c r="P9" s="361">
        <v>174720</v>
      </c>
      <c r="Q9" s="361">
        <v>181709</v>
      </c>
      <c r="S9" s="620" t="s">
        <v>253</v>
      </c>
      <c r="T9" s="361">
        <f>SUM(D9,D29,I29,O9)</f>
        <v>484909</v>
      </c>
      <c r="U9" s="361">
        <f>SUM(E9,E29,J29,P9)</f>
        <v>676730</v>
      </c>
      <c r="V9" s="361">
        <f>SUM(F9,F29,K29,Q9)</f>
        <v>1290060</v>
      </c>
    </row>
    <row r="10" spans="2:22" x14ac:dyDescent="0.3">
      <c r="C10" t="s">
        <v>692</v>
      </c>
      <c r="E10" s="361">
        <v>30390</v>
      </c>
      <c r="F10" s="361">
        <v>26421</v>
      </c>
      <c r="H10" t="s">
        <v>702</v>
      </c>
      <c r="I10" s="361">
        <v>92534</v>
      </c>
      <c r="J10" s="361">
        <v>95650</v>
      </c>
      <c r="K10" s="361">
        <v>111252</v>
      </c>
      <c r="N10" t="s">
        <v>254</v>
      </c>
      <c r="O10" s="361">
        <v>10988</v>
      </c>
      <c r="P10" s="361">
        <v>21264</v>
      </c>
      <c r="Q10" s="361">
        <v>22115</v>
      </c>
      <c r="S10" s="1045" t="s">
        <v>731</v>
      </c>
      <c r="T10" s="361">
        <f>SUM(D30)</f>
        <v>50471</v>
      </c>
      <c r="U10" s="361">
        <f>SUM(E30)</f>
        <v>487173</v>
      </c>
      <c r="V10" s="361">
        <f>SUM(F30)</f>
        <v>0</v>
      </c>
    </row>
    <row r="11" spans="2:22" x14ac:dyDescent="0.3">
      <c r="C11" t="s">
        <v>693</v>
      </c>
      <c r="E11" s="361">
        <v>25000</v>
      </c>
      <c r="F11" s="361">
        <v>12500</v>
      </c>
      <c r="H11" t="s">
        <v>703</v>
      </c>
      <c r="I11" s="361">
        <v>78406</v>
      </c>
      <c r="J11" s="361">
        <v>81543</v>
      </c>
      <c r="K11" s="361">
        <v>84808</v>
      </c>
      <c r="N11" t="s">
        <v>721</v>
      </c>
      <c r="O11" s="361">
        <v>20000</v>
      </c>
      <c r="P11" s="361">
        <v>20000</v>
      </c>
      <c r="Q11" s="361">
        <v>20000</v>
      </c>
      <c r="S11" s="1045" t="s">
        <v>693</v>
      </c>
      <c r="T11" s="361">
        <f>SUM(E11)</f>
        <v>25000</v>
      </c>
      <c r="U11" s="361">
        <f>SUM(E11)</f>
        <v>25000</v>
      </c>
      <c r="V11" s="361">
        <f>SUM(F11)</f>
        <v>12500</v>
      </c>
    </row>
    <row r="12" spans="2:22" x14ac:dyDescent="0.3">
      <c r="C12" t="s">
        <v>694</v>
      </c>
      <c r="F12" s="361">
        <v>12500</v>
      </c>
      <c r="H12" t="s">
        <v>174</v>
      </c>
      <c r="I12" s="361">
        <v>6132</v>
      </c>
      <c r="J12" s="361">
        <v>5832</v>
      </c>
      <c r="K12" s="361">
        <v>4032</v>
      </c>
      <c r="N12" t="s">
        <v>722</v>
      </c>
      <c r="O12" s="361">
        <v>20000</v>
      </c>
      <c r="P12" s="361">
        <v>10000</v>
      </c>
      <c r="Q12" s="361"/>
      <c r="S12" s="1045" t="s">
        <v>744</v>
      </c>
      <c r="T12" s="361">
        <f t="shared" ref="T12:U12" si="0">D31</f>
        <v>0</v>
      </c>
      <c r="U12" s="361">
        <f t="shared" si="0"/>
        <v>0</v>
      </c>
      <c r="V12" s="361">
        <f>F31</f>
        <v>16339</v>
      </c>
    </row>
    <row r="13" spans="2:22" x14ac:dyDescent="0.3">
      <c r="C13" t="s">
        <v>254</v>
      </c>
      <c r="E13" s="361">
        <v>15500</v>
      </c>
      <c r="F13" s="361">
        <v>15500</v>
      </c>
      <c r="O13" s="361"/>
      <c r="P13" s="361"/>
      <c r="Q13" s="361"/>
      <c r="S13" s="620" t="s">
        <v>254</v>
      </c>
      <c r="T13" s="361">
        <f>SUM(E13,O10)</f>
        <v>26488</v>
      </c>
      <c r="U13" s="361">
        <f>SUM(E13,P10)</f>
        <v>36764</v>
      </c>
      <c r="V13" s="361">
        <f>SUM(F13,Q10)</f>
        <v>37615</v>
      </c>
    </row>
    <row r="14" spans="2:22" x14ac:dyDescent="0.3">
      <c r="C14" t="s">
        <v>695</v>
      </c>
      <c r="F14" s="361">
        <v>2927</v>
      </c>
      <c r="O14" s="361"/>
      <c r="P14" s="361"/>
      <c r="Q14" s="361"/>
      <c r="S14" s="1045" t="s">
        <v>745</v>
      </c>
      <c r="T14" s="361"/>
      <c r="U14" s="361">
        <f>E14</f>
        <v>0</v>
      </c>
      <c r="V14" s="361">
        <f>F14</f>
        <v>2927</v>
      </c>
    </row>
    <row r="15" spans="2:22" x14ac:dyDescent="0.3">
      <c r="C15" t="s">
        <v>696</v>
      </c>
      <c r="E15" s="361">
        <v>445263</v>
      </c>
      <c r="F15" s="361">
        <v>377656</v>
      </c>
      <c r="O15" s="361"/>
      <c r="P15" s="361"/>
      <c r="Q15" s="361"/>
      <c r="S15" s="1045" t="s">
        <v>694</v>
      </c>
      <c r="T15" s="361">
        <f>SUM(E12)</f>
        <v>0</v>
      </c>
      <c r="U15" s="361">
        <f>SUM(E12)</f>
        <v>0</v>
      </c>
      <c r="V15" s="361">
        <f>SUM(F12)</f>
        <v>12500</v>
      </c>
    </row>
    <row r="16" spans="2:22" x14ac:dyDescent="0.3">
      <c r="C16" t="s">
        <v>746</v>
      </c>
      <c r="F16" s="361">
        <v>240000</v>
      </c>
      <c r="O16" s="361"/>
      <c r="P16" s="361"/>
      <c r="Q16" s="361"/>
      <c r="S16" s="1045" t="s">
        <v>736</v>
      </c>
      <c r="T16" s="361">
        <f t="shared" ref="T16:V17" si="1">D32</f>
        <v>2652</v>
      </c>
      <c r="U16" s="361">
        <f t="shared" si="1"/>
        <v>21413</v>
      </c>
      <c r="V16" s="361">
        <f t="shared" si="1"/>
        <v>3862</v>
      </c>
    </row>
    <row r="17" spans="2:22" x14ac:dyDescent="0.3">
      <c r="B17" s="116" t="s">
        <v>691</v>
      </c>
      <c r="G17" s="116" t="s">
        <v>691</v>
      </c>
      <c r="M17" s="116" t="s">
        <v>691</v>
      </c>
      <c r="O17" s="361"/>
      <c r="P17" s="361"/>
      <c r="Q17" s="361"/>
      <c r="S17" s="1045" t="s">
        <v>732</v>
      </c>
      <c r="T17" s="361">
        <f t="shared" si="1"/>
        <v>119014</v>
      </c>
      <c r="U17" s="361">
        <f t="shared" si="1"/>
        <v>119304</v>
      </c>
      <c r="V17" s="361">
        <f t="shared" si="1"/>
        <v>124076</v>
      </c>
    </row>
    <row r="18" spans="2:22" x14ac:dyDescent="0.3">
      <c r="C18" t="s">
        <v>697</v>
      </c>
      <c r="E18" s="361">
        <v>266331</v>
      </c>
      <c r="F18" s="361">
        <v>596396</v>
      </c>
      <c r="H18" t="s">
        <v>704</v>
      </c>
      <c r="I18" s="361">
        <v>179385</v>
      </c>
      <c r="J18" s="361">
        <v>220447</v>
      </c>
      <c r="K18" s="361">
        <v>272563</v>
      </c>
      <c r="N18" t="s">
        <v>703</v>
      </c>
      <c r="O18" s="361">
        <v>20510</v>
      </c>
      <c r="P18" s="361">
        <v>70186</v>
      </c>
      <c r="Q18" s="361">
        <v>72997</v>
      </c>
      <c r="S18" s="1045" t="s">
        <v>626</v>
      </c>
      <c r="T18" s="361">
        <f>SUM(E10,O12)</f>
        <v>50390</v>
      </c>
      <c r="U18" s="361">
        <f>SUM(E10,P12)</f>
        <v>40390</v>
      </c>
      <c r="V18" s="361">
        <f>SUM(F10,Q12)</f>
        <v>26421</v>
      </c>
    </row>
    <row r="19" spans="2:22" x14ac:dyDescent="0.3">
      <c r="C19" t="s">
        <v>699</v>
      </c>
      <c r="E19" s="361">
        <f>10529+66600+1914</f>
        <v>79043</v>
      </c>
      <c r="F19" s="361">
        <f>34253+25000+11811+25800+1000</f>
        <v>97864</v>
      </c>
      <c r="H19" t="s">
        <v>705</v>
      </c>
      <c r="I19" s="361">
        <v>67094</v>
      </c>
      <c r="J19" s="361">
        <v>55842</v>
      </c>
      <c r="K19" s="361">
        <v>49307</v>
      </c>
      <c r="N19" t="s">
        <v>723</v>
      </c>
      <c r="O19" s="361">
        <f>52480+17277+25049+674+625+5550</f>
        <v>101655</v>
      </c>
      <c r="P19" s="361">
        <f>65405+26005+50888+8500+5000</f>
        <v>155798</v>
      </c>
      <c r="Q19" s="361">
        <f>105531+12818+23637+8840</f>
        <v>150826</v>
      </c>
      <c r="S19" s="1045" t="s">
        <v>721</v>
      </c>
      <c r="T19" s="361">
        <f>O11</f>
        <v>20000</v>
      </c>
      <c r="U19" s="361">
        <f>P11</f>
        <v>20000</v>
      </c>
      <c r="V19" s="361">
        <f>Q11</f>
        <v>20000</v>
      </c>
    </row>
    <row r="20" spans="2:22" x14ac:dyDescent="0.3">
      <c r="O20" s="361"/>
      <c r="P20" s="361"/>
      <c r="Q20" s="361"/>
      <c r="S20" s="1045" t="s">
        <v>737</v>
      </c>
      <c r="T20" s="361">
        <f>E15</f>
        <v>445263</v>
      </c>
      <c r="U20" s="361">
        <f>E15</f>
        <v>445263</v>
      </c>
      <c r="V20" s="361">
        <f>F15</f>
        <v>377656</v>
      </c>
    </row>
    <row r="21" spans="2:22" x14ac:dyDescent="0.3">
      <c r="C21" s="116" t="s">
        <v>548</v>
      </c>
      <c r="E21" s="1130">
        <f>SUM(E9:E15)</f>
        <v>668765</v>
      </c>
      <c r="F21" s="1130">
        <f>SUM(F9:F16)</f>
        <v>850099</v>
      </c>
      <c r="H21" s="116" t="s">
        <v>548</v>
      </c>
      <c r="I21" s="1130">
        <f>SUM(I9:I15)</f>
        <v>282567</v>
      </c>
      <c r="J21" s="1130">
        <f>SUM(J9:J15)</f>
        <v>303719</v>
      </c>
      <c r="K21" s="1130">
        <f>SUM(K9:K15)</f>
        <v>325359</v>
      </c>
      <c r="N21" s="116" t="s">
        <v>548</v>
      </c>
      <c r="O21" s="1130">
        <f>SUM(O9:O15)</f>
        <v>110363</v>
      </c>
      <c r="P21" s="1130">
        <f>SUM(P9:P15)</f>
        <v>225984</v>
      </c>
      <c r="Q21" s="1130">
        <f>SUM(Q9:Q15)</f>
        <v>223824</v>
      </c>
      <c r="S21" s="1045" t="s">
        <v>701</v>
      </c>
      <c r="T21" s="361">
        <f>I9</f>
        <v>105495</v>
      </c>
      <c r="U21" s="361">
        <f>J9</f>
        <v>120694</v>
      </c>
      <c r="V21" s="361">
        <f>K9</f>
        <v>125267</v>
      </c>
    </row>
    <row r="22" spans="2:22" x14ac:dyDescent="0.3">
      <c r="C22" s="116" t="s">
        <v>113</v>
      </c>
      <c r="E22" s="1130">
        <f>SUM(E18:E19)</f>
        <v>345374</v>
      </c>
      <c r="F22" s="1130">
        <f>SUM(F18:F19)</f>
        <v>694260</v>
      </c>
      <c r="H22" s="116" t="s">
        <v>113</v>
      </c>
      <c r="I22" s="1130">
        <f>SUM(I18:I19)</f>
        <v>246479</v>
      </c>
      <c r="J22" s="1130">
        <f>SUM(J18:J19)</f>
        <v>276289</v>
      </c>
      <c r="K22" s="1130">
        <f>SUM(K18:K19)</f>
        <v>321870</v>
      </c>
      <c r="N22" s="116" t="s">
        <v>113</v>
      </c>
      <c r="O22" s="1130">
        <f>SUM(O18:O19)</f>
        <v>122165</v>
      </c>
      <c r="P22" s="1130">
        <f>SUM(P18:P19)</f>
        <v>225984</v>
      </c>
      <c r="Q22" s="1130">
        <f>SUM(Q18:Q19)</f>
        <v>223823</v>
      </c>
      <c r="S22" s="1045" t="s">
        <v>733</v>
      </c>
      <c r="T22" s="361">
        <f>SUM(I10:I12)</f>
        <v>177072</v>
      </c>
      <c r="U22" s="361">
        <f>SUM(J10:J12)</f>
        <v>183025</v>
      </c>
      <c r="V22" s="361">
        <f>SUM(K10:K12)</f>
        <v>200092</v>
      </c>
    </row>
    <row r="23" spans="2:22" x14ac:dyDescent="0.3">
      <c r="T23" s="361">
        <f>SUM(T9:T22)</f>
        <v>1506754</v>
      </c>
      <c r="U23" s="361">
        <f>SUM(U9:U22)</f>
        <v>2175756</v>
      </c>
      <c r="V23" s="361">
        <f>SUM(V9:V22)</f>
        <v>2249315</v>
      </c>
    </row>
    <row r="25" spans="2:22" x14ac:dyDescent="0.3">
      <c r="V25" s="361">
        <f>SUM(F21,F42,K21,K42,Q21)</f>
        <v>2489315</v>
      </c>
    </row>
    <row r="26" spans="2:22" ht="18" x14ac:dyDescent="0.35">
      <c r="C26" s="374" t="s">
        <v>706</v>
      </c>
      <c r="H26" s="374" t="s">
        <v>713</v>
      </c>
      <c r="V26" s="361">
        <f>SUM(F22,F43,K22,K43,Q22)</f>
        <v>2329986</v>
      </c>
    </row>
    <row r="27" spans="2:22" x14ac:dyDescent="0.3">
      <c r="D27" s="361" t="s">
        <v>717</v>
      </c>
      <c r="E27" s="361" t="s">
        <v>432</v>
      </c>
      <c r="F27" s="361" t="s">
        <v>718</v>
      </c>
      <c r="I27" s="361" t="s">
        <v>717</v>
      </c>
      <c r="J27" s="361" t="s">
        <v>432</v>
      </c>
      <c r="K27" s="361" t="s">
        <v>718</v>
      </c>
    </row>
    <row r="28" spans="2:22" s="116" customFormat="1" x14ac:dyDescent="0.3">
      <c r="B28" s="116" t="s">
        <v>168</v>
      </c>
      <c r="C28" s="116" t="s">
        <v>689</v>
      </c>
      <c r="D28" s="1130" t="s">
        <v>690</v>
      </c>
      <c r="E28" s="1130"/>
      <c r="F28" s="1130"/>
      <c r="G28" s="116" t="s">
        <v>168</v>
      </c>
      <c r="H28" s="116" t="s">
        <v>689</v>
      </c>
      <c r="I28" s="1130" t="s">
        <v>690</v>
      </c>
      <c r="J28" s="1130"/>
      <c r="K28" s="1130"/>
      <c r="S28"/>
      <c r="T28"/>
      <c r="U28"/>
      <c r="V28"/>
    </row>
    <row r="29" spans="2:22" x14ac:dyDescent="0.3">
      <c r="C29" t="s">
        <v>707</v>
      </c>
      <c r="D29" s="361">
        <v>267385</v>
      </c>
      <c r="E29" s="361">
        <f>90762+12118+25700</f>
        <v>128580</v>
      </c>
      <c r="F29" s="361">
        <v>749956</v>
      </c>
      <c r="H29" t="s">
        <v>707</v>
      </c>
      <c r="I29" s="361">
        <v>158149</v>
      </c>
      <c r="J29" s="361">
        <v>220818</v>
      </c>
      <c r="K29" s="361">
        <v>195800</v>
      </c>
    </row>
    <row r="30" spans="2:22" x14ac:dyDescent="0.3">
      <c r="C30" t="s">
        <v>708</v>
      </c>
      <c r="D30" s="361">
        <v>50471</v>
      </c>
      <c r="E30" s="361">
        <f>431733+55440</f>
        <v>487173</v>
      </c>
      <c r="S30" s="116"/>
      <c r="T30" s="116"/>
      <c r="U30" s="116"/>
      <c r="V30" s="116"/>
    </row>
    <row r="31" spans="2:22" x14ac:dyDescent="0.3">
      <c r="C31" t="s">
        <v>744</v>
      </c>
      <c r="F31" s="361">
        <v>16339</v>
      </c>
    </row>
    <row r="32" spans="2:22" x14ac:dyDescent="0.3">
      <c r="C32" t="s">
        <v>450</v>
      </c>
      <c r="D32" s="361">
        <v>2652</v>
      </c>
      <c r="E32" s="361">
        <f>3713+17700</f>
        <v>21413</v>
      </c>
      <c r="F32" s="361">
        <v>3862</v>
      </c>
    </row>
    <row r="33" spans="2:11" x14ac:dyDescent="0.3">
      <c r="C33" t="s">
        <v>446</v>
      </c>
      <c r="D33" s="361">
        <v>119014</v>
      </c>
      <c r="E33" s="361">
        <v>119304</v>
      </c>
      <c r="F33" s="361">
        <v>124076</v>
      </c>
    </row>
    <row r="35" spans="2:11" x14ac:dyDescent="0.3">
      <c r="B35" s="116" t="s">
        <v>691</v>
      </c>
      <c r="G35" s="116" t="s">
        <v>691</v>
      </c>
    </row>
    <row r="36" spans="2:11" x14ac:dyDescent="0.3">
      <c r="C36" t="s">
        <v>709</v>
      </c>
      <c r="D36" s="361">
        <f>6915+215014+92000+6062</f>
        <v>319991</v>
      </c>
      <c r="E36" s="361">
        <f>8000+357984+11140+157106</f>
        <v>534230</v>
      </c>
      <c r="F36" s="361">
        <f>7130+372303+11586+163390+94092+12320+18700</f>
        <v>679521</v>
      </c>
      <c r="H36" t="s">
        <v>697</v>
      </c>
      <c r="I36" s="361">
        <v>140800</v>
      </c>
      <c r="J36" s="361">
        <v>192000</v>
      </c>
      <c r="K36" s="361">
        <v>177600</v>
      </c>
    </row>
    <row r="37" spans="2:11" x14ac:dyDescent="0.3">
      <c r="C37" t="s">
        <v>710</v>
      </c>
      <c r="D37" s="361">
        <v>48078</v>
      </c>
      <c r="E37" s="361">
        <v>52715</v>
      </c>
      <c r="F37" s="361">
        <v>66799</v>
      </c>
      <c r="H37" t="s">
        <v>698</v>
      </c>
      <c r="I37" s="361">
        <f>1125+12788</f>
        <v>13913</v>
      </c>
      <c r="J37" s="361">
        <v>13900</v>
      </c>
      <c r="K37" s="361">
        <v>10200</v>
      </c>
    </row>
    <row r="38" spans="2:11" x14ac:dyDescent="0.3">
      <c r="C38" t="s">
        <v>711</v>
      </c>
      <c r="D38" s="361">
        <f>4188+4800+48300+7490+2587+1216+1216</f>
        <v>69797</v>
      </c>
      <c r="E38" s="361">
        <f>12000+5000+63406+7000+7000+35400</f>
        <v>129806</v>
      </c>
      <c r="F38" s="361">
        <f>8000+5500+69000+7282+4200+2150</f>
        <v>96132</v>
      </c>
      <c r="H38" t="s">
        <v>712</v>
      </c>
      <c r="I38" s="361">
        <v>3436</v>
      </c>
      <c r="J38" s="361">
        <v>14918</v>
      </c>
      <c r="K38" s="361">
        <v>8000</v>
      </c>
    </row>
    <row r="39" spans="2:11" x14ac:dyDescent="0.3">
      <c r="C39" t="s">
        <v>712</v>
      </c>
      <c r="D39" s="361">
        <f>3183+591+591+591</f>
        <v>4956</v>
      </c>
      <c r="E39" s="361">
        <f>3000+5000+5000+5000+17000+4719</f>
        <v>39719</v>
      </c>
      <c r="F39" s="361">
        <f>3120+6310+6310+6079+3000+16310+2000+8652</f>
        <v>51781</v>
      </c>
    </row>
    <row r="42" spans="2:11" x14ac:dyDescent="0.3">
      <c r="C42" s="116" t="s">
        <v>548</v>
      </c>
      <c r="D42" s="1130">
        <f>SUM(D29:D34)</f>
        <v>439522</v>
      </c>
      <c r="E42" s="1130">
        <f>SUM(E29:E34)</f>
        <v>756470</v>
      </c>
      <c r="F42" s="1130">
        <f>SUM(F29:F34)</f>
        <v>894233</v>
      </c>
      <c r="H42" s="116" t="s">
        <v>548</v>
      </c>
      <c r="I42" s="1130">
        <f>SUM(I29:I34)</f>
        <v>158149</v>
      </c>
      <c r="J42" s="1130">
        <f>SUM(J29:J34)</f>
        <v>220818</v>
      </c>
      <c r="K42" s="1130">
        <f>SUM(K29:K34)</f>
        <v>195800</v>
      </c>
    </row>
    <row r="43" spans="2:11" x14ac:dyDescent="0.3">
      <c r="C43" s="116" t="s">
        <v>113</v>
      </c>
      <c r="D43" s="1130">
        <f>SUM(D36:D40)</f>
        <v>442822</v>
      </c>
      <c r="E43" s="1130">
        <f>SUM(E36:E40)</f>
        <v>756470</v>
      </c>
      <c r="F43" s="1130">
        <f>SUM(F36:F40)</f>
        <v>894233</v>
      </c>
      <c r="H43" s="116" t="s">
        <v>113</v>
      </c>
      <c r="I43" s="1130">
        <f>SUM(I36:I39)</f>
        <v>158149</v>
      </c>
      <c r="J43" s="1130">
        <f>SUM(J36:J39)</f>
        <v>220818</v>
      </c>
      <c r="K43" s="1130">
        <f>SUM(K36:K39)</f>
        <v>195800</v>
      </c>
    </row>
    <row r="45" spans="2:11" x14ac:dyDescent="0.3">
      <c r="I45" s="361" t="s">
        <v>726</v>
      </c>
      <c r="J45" s="361">
        <f>J36/16</f>
        <v>12000</v>
      </c>
    </row>
    <row r="46" spans="2:11" x14ac:dyDescent="0.3">
      <c r="H46" t="s">
        <v>728</v>
      </c>
      <c r="I46" s="361" t="s">
        <v>727</v>
      </c>
      <c r="J46" s="361">
        <f>J45*2</f>
        <v>24000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8A68D-7240-4394-B3B3-B31D12F717E3}">
  <dimension ref="C3:V42"/>
  <sheetViews>
    <sheetView workbookViewId="0"/>
  </sheetViews>
  <sheetFormatPr defaultRowHeight="14.4" x14ac:dyDescent="0.3"/>
  <cols>
    <col min="5" max="5" width="14.88671875" customWidth="1"/>
    <col min="6" max="6" width="14.21875" customWidth="1"/>
    <col min="7" max="7" width="17.77734375" customWidth="1"/>
    <col min="8" max="8" width="18.88671875" customWidth="1"/>
    <col min="9" max="9" width="19.88671875" customWidth="1"/>
    <col min="10" max="10" width="13.44140625" customWidth="1"/>
    <col min="11" max="11" width="16.88671875" customWidth="1"/>
    <col min="12" max="12" width="25.44140625" customWidth="1"/>
    <col min="13" max="13" width="11.88671875" customWidth="1"/>
    <col min="22" max="22" width="15.44140625" customWidth="1"/>
  </cols>
  <sheetData>
    <row r="3" spans="3:19" x14ac:dyDescent="0.3">
      <c r="C3" s="363" t="s">
        <v>346</v>
      </c>
      <c r="D3" s="914"/>
      <c r="E3" s="765"/>
    </row>
    <row r="4" spans="3:19" x14ac:dyDescent="0.3">
      <c r="C4" s="366" t="s">
        <v>267</v>
      </c>
      <c r="E4" s="764"/>
    </row>
    <row r="5" spans="3:19" x14ac:dyDescent="0.3">
      <c r="C5" s="364" t="s">
        <v>226</v>
      </c>
      <c r="D5" s="915"/>
      <c r="E5" s="916"/>
    </row>
    <row r="10" spans="3:19" ht="21" x14ac:dyDescent="0.4">
      <c r="D10" s="372" t="s">
        <v>284</v>
      </c>
    </row>
    <row r="12" spans="3:19" ht="18" x14ac:dyDescent="0.35">
      <c r="D12" s="374" t="s">
        <v>147</v>
      </c>
      <c r="E12" s="373"/>
      <c r="F12" s="373"/>
      <c r="G12" s="373"/>
      <c r="H12" s="380"/>
      <c r="I12" s="373"/>
      <c r="J12" s="373"/>
      <c r="K12" s="373"/>
      <c r="L12" s="373"/>
      <c r="M12" s="373"/>
      <c r="N12" s="373"/>
      <c r="O12" s="373"/>
      <c r="P12" s="373"/>
      <c r="Q12" s="373"/>
      <c r="R12" s="373"/>
      <c r="S12" s="373"/>
    </row>
    <row r="13" spans="3:19" ht="18" x14ac:dyDescent="0.35">
      <c r="D13" s="373"/>
      <c r="E13" s="373"/>
      <c r="F13" s="373"/>
      <c r="G13" s="373"/>
      <c r="H13" s="373"/>
      <c r="I13" s="373"/>
      <c r="J13" s="373"/>
      <c r="K13" s="373"/>
      <c r="L13" s="373"/>
      <c r="M13" s="373"/>
      <c r="N13" s="373"/>
      <c r="O13" s="373"/>
      <c r="P13" s="373"/>
      <c r="Q13" s="373"/>
      <c r="R13" s="373"/>
      <c r="S13" s="373"/>
    </row>
    <row r="14" spans="3:19" ht="18" x14ac:dyDescent="0.35">
      <c r="D14" s="373"/>
      <c r="E14" s="373"/>
      <c r="F14" s="373"/>
      <c r="G14" s="373"/>
      <c r="H14" s="381"/>
      <c r="I14" s="373"/>
      <c r="J14" s="373"/>
      <c r="K14" s="373"/>
      <c r="L14" s="373"/>
      <c r="M14" s="373"/>
      <c r="N14" s="373"/>
      <c r="O14" s="373"/>
      <c r="P14" s="373"/>
      <c r="Q14" s="373"/>
      <c r="R14" s="373"/>
      <c r="S14" s="373"/>
    </row>
    <row r="15" spans="3:19" ht="18.600000000000001" thickBot="1" x14ac:dyDescent="0.4">
      <c r="D15" s="374"/>
      <c r="E15" s="373"/>
      <c r="F15" s="373"/>
      <c r="G15" s="373"/>
      <c r="H15" s="373"/>
      <c r="I15" s="373"/>
      <c r="J15" s="373"/>
      <c r="K15" s="373"/>
      <c r="L15" s="373"/>
      <c r="M15" s="373"/>
      <c r="N15" s="382" t="s">
        <v>341</v>
      </c>
      <c r="O15" s="382"/>
      <c r="P15" s="382"/>
      <c r="Q15" s="382"/>
      <c r="R15" s="373"/>
      <c r="S15" s="373"/>
    </row>
    <row r="16" spans="3:19" ht="18" x14ac:dyDescent="0.35">
      <c r="D16" s="373"/>
      <c r="E16" s="448"/>
      <c r="F16" s="449"/>
      <c r="G16" s="450"/>
      <c r="H16" s="450"/>
      <c r="I16" s="450"/>
      <c r="J16" s="450"/>
      <c r="K16" s="450"/>
      <c r="L16" s="451"/>
      <c r="M16" s="373"/>
      <c r="N16" s="383" t="s">
        <v>342</v>
      </c>
      <c r="O16" s="383"/>
      <c r="P16" s="383"/>
      <c r="Q16" s="383"/>
      <c r="R16" s="383"/>
      <c r="S16" s="373"/>
    </row>
    <row r="17" spans="4:22" ht="18" x14ac:dyDescent="0.35">
      <c r="D17" s="373"/>
      <c r="E17" s="384" t="s">
        <v>148</v>
      </c>
      <c r="F17" s="385" t="s">
        <v>149</v>
      </c>
      <c r="G17" s="386"/>
      <c r="H17" s="387"/>
      <c r="I17" s="385" t="s">
        <v>287</v>
      </c>
      <c r="J17" s="388"/>
      <c r="K17" s="388"/>
      <c r="L17" s="389"/>
      <c r="M17" s="373"/>
      <c r="N17" s="373"/>
      <c r="O17" s="373"/>
      <c r="P17" s="373"/>
      <c r="Q17" s="373"/>
      <c r="R17" s="373"/>
      <c r="S17" s="373"/>
    </row>
    <row r="18" spans="4:22" ht="18" x14ac:dyDescent="0.35">
      <c r="D18" s="472"/>
      <c r="E18" s="390"/>
      <c r="F18" s="391" t="s">
        <v>150</v>
      </c>
      <c r="G18" s="905">
        <v>483367</v>
      </c>
      <c r="H18" s="419"/>
      <c r="I18" s="392" t="s">
        <v>148</v>
      </c>
      <c r="J18" s="387"/>
      <c r="K18" s="387"/>
      <c r="L18" s="907">
        <v>489907</v>
      </c>
      <c r="M18" s="423"/>
      <c r="N18" s="381"/>
      <c r="O18" s="373"/>
      <c r="P18" s="373"/>
      <c r="Q18" s="373"/>
      <c r="R18" s="373"/>
      <c r="S18" s="373"/>
      <c r="V18" s="373"/>
    </row>
    <row r="19" spans="4:22" ht="18" x14ac:dyDescent="0.35">
      <c r="D19" s="373"/>
      <c r="E19" s="390"/>
      <c r="F19" s="393" t="s">
        <v>151</v>
      </c>
      <c r="G19" s="906">
        <v>319717</v>
      </c>
      <c r="H19" s="419"/>
      <c r="I19" s="394" t="s">
        <v>152</v>
      </c>
      <c r="J19" s="395"/>
      <c r="K19" s="395"/>
      <c r="L19" s="908">
        <v>613042</v>
      </c>
      <c r="M19" s="423"/>
      <c r="N19" s="373"/>
      <c r="O19" s="373"/>
      <c r="P19" s="373"/>
      <c r="Q19" s="373"/>
      <c r="R19" s="373"/>
      <c r="S19" s="373"/>
      <c r="V19" s="373" t="s">
        <v>289</v>
      </c>
    </row>
    <row r="20" spans="4:22" ht="18" x14ac:dyDescent="0.35">
      <c r="D20" s="373"/>
      <c r="E20" s="396" t="s">
        <v>152</v>
      </c>
      <c r="F20" s="391" t="s">
        <v>150</v>
      </c>
      <c r="G20" s="421">
        <v>1207385</v>
      </c>
      <c r="H20" s="373"/>
      <c r="I20" s="373"/>
      <c r="J20" s="373"/>
      <c r="K20" s="373"/>
      <c r="L20" s="397">
        <f>SUM(L18:L19)</f>
        <v>1102949</v>
      </c>
      <c r="M20" s="373"/>
      <c r="N20" s="373"/>
      <c r="O20" s="398"/>
      <c r="P20" s="373"/>
      <c r="Q20" s="398"/>
      <c r="R20" s="373"/>
      <c r="S20" s="373"/>
      <c r="V20" s="742">
        <v>4730069</v>
      </c>
    </row>
    <row r="21" spans="4:22" ht="18.600000000000001" thickBot="1" x14ac:dyDescent="0.4">
      <c r="D21" s="373"/>
      <c r="E21" s="399"/>
      <c r="F21" s="400" t="s">
        <v>151</v>
      </c>
      <c r="G21" s="422">
        <v>200731</v>
      </c>
      <c r="H21" s="373"/>
      <c r="I21" s="374"/>
      <c r="J21" s="374"/>
      <c r="K21" s="373"/>
      <c r="L21" s="377"/>
      <c r="M21" s="374"/>
      <c r="N21" s="374"/>
      <c r="O21" s="398"/>
      <c r="P21" s="373"/>
      <c r="Q21" s="373"/>
      <c r="R21" s="373"/>
      <c r="S21" s="373"/>
      <c r="V21" s="373"/>
    </row>
    <row r="22" spans="4:22" ht="38.700000000000003" customHeight="1" x14ac:dyDescent="0.35">
      <c r="D22" s="373"/>
      <c r="E22" s="402" t="s">
        <v>153</v>
      </c>
      <c r="F22" s="403"/>
      <c r="G22" s="403"/>
      <c r="H22" s="373"/>
      <c r="I22" s="744" t="s">
        <v>288</v>
      </c>
      <c r="J22" s="753"/>
      <c r="K22" s="743">
        <v>5307</v>
      </c>
      <c r="L22" s="743">
        <v>5339</v>
      </c>
      <c r="M22" s="749">
        <v>5310</v>
      </c>
      <c r="N22" s="746"/>
      <c r="O22" s="373"/>
      <c r="P22" s="398"/>
      <c r="Q22" s="373"/>
      <c r="R22" s="373"/>
      <c r="S22" s="373"/>
      <c r="V22" s="373"/>
    </row>
    <row r="23" spans="4:22" ht="18" x14ac:dyDescent="0.35">
      <c r="D23" s="373"/>
      <c r="E23" s="375" t="s">
        <v>148</v>
      </c>
      <c r="F23" s="404">
        <v>31420</v>
      </c>
      <c r="G23" s="373" t="s">
        <v>155</v>
      </c>
      <c r="H23" s="373"/>
      <c r="I23" s="445"/>
      <c r="J23" s="373"/>
      <c r="K23" s="473"/>
      <c r="L23" s="750" t="s">
        <v>154</v>
      </c>
      <c r="M23" s="751" t="s">
        <v>154</v>
      </c>
      <c r="N23" s="747"/>
      <c r="O23" s="373"/>
      <c r="P23" s="373"/>
      <c r="Q23" s="373"/>
      <c r="R23" s="373"/>
      <c r="S23" s="373"/>
    </row>
    <row r="24" spans="4:22" ht="18.600000000000001" thickBot="1" x14ac:dyDescent="0.4">
      <c r="D24" s="373"/>
      <c r="E24" s="378" t="s">
        <v>152</v>
      </c>
      <c r="F24" s="406">
        <v>16643</v>
      </c>
      <c r="G24" s="379" t="s">
        <v>155</v>
      </c>
      <c r="H24" s="379"/>
      <c r="I24" s="474" t="s">
        <v>290</v>
      </c>
      <c r="J24" s="475"/>
      <c r="K24" s="745">
        <v>4254369</v>
      </c>
      <c r="L24" s="752">
        <v>401220</v>
      </c>
      <c r="M24" s="752">
        <v>74480</v>
      </c>
      <c r="N24" s="748"/>
      <c r="O24" s="373"/>
      <c r="P24" s="373"/>
      <c r="Q24" s="373"/>
      <c r="R24" s="373"/>
      <c r="S24" s="373"/>
    </row>
    <row r="25" spans="4:22" ht="18" x14ac:dyDescent="0.35">
      <c r="D25" s="373"/>
      <c r="E25" s="373"/>
      <c r="F25" s="373"/>
      <c r="G25" s="373"/>
      <c r="H25" s="373"/>
      <c r="I25" s="373"/>
      <c r="J25" s="373"/>
      <c r="K25" s="373"/>
      <c r="L25" s="373"/>
      <c r="M25" s="373"/>
      <c r="N25" s="373"/>
      <c r="O25" s="373"/>
      <c r="P25" s="405"/>
      <c r="Q25" s="398"/>
      <c r="R25" s="373"/>
      <c r="S25" s="373"/>
    </row>
    <row r="26" spans="4:22" ht="18.600000000000001" thickBot="1" x14ac:dyDescent="0.4">
      <c r="D26" s="373"/>
      <c r="E26" s="373"/>
      <c r="F26" s="373"/>
      <c r="G26" s="373"/>
      <c r="H26" s="373"/>
      <c r="I26" s="373"/>
      <c r="J26" s="373"/>
      <c r="K26" s="373"/>
      <c r="L26" s="373"/>
      <c r="M26" s="373"/>
      <c r="N26" s="373"/>
      <c r="O26" s="373"/>
      <c r="P26" s="373"/>
      <c r="Q26" s="373"/>
      <c r="R26" s="373"/>
      <c r="S26" s="373"/>
    </row>
    <row r="27" spans="4:22" ht="18.600000000000001" thickBot="1" x14ac:dyDescent="0.4">
      <c r="D27" s="373"/>
      <c r="E27" s="461" t="s">
        <v>156</v>
      </c>
      <c r="F27" s="462"/>
      <c r="G27" s="463"/>
      <c r="H27" s="373"/>
      <c r="I27" s="373"/>
      <c r="J27" s="373"/>
      <c r="K27" s="373"/>
      <c r="L27" s="373"/>
      <c r="M27" s="373"/>
      <c r="N27" s="373"/>
      <c r="O27" s="373"/>
      <c r="P27" s="373"/>
      <c r="Q27" s="373"/>
      <c r="R27" s="373"/>
      <c r="S27" s="373"/>
    </row>
    <row r="28" spans="4:22" ht="18.600000000000001" thickBot="1" x14ac:dyDescent="0.4">
      <c r="D28" s="373"/>
      <c r="E28" s="456"/>
      <c r="F28" s="457" t="s">
        <v>157</v>
      </c>
      <c r="G28" s="458"/>
      <c r="H28" s="457" t="s">
        <v>158</v>
      </c>
      <c r="I28" s="459"/>
      <c r="J28" s="1380" t="s">
        <v>159</v>
      </c>
      <c r="K28" s="1381"/>
      <c r="L28" s="460" t="s">
        <v>291</v>
      </c>
      <c r="M28" s="376"/>
      <c r="N28" s="373"/>
      <c r="O28" s="373"/>
      <c r="P28" s="373"/>
      <c r="Q28" s="373"/>
      <c r="R28" s="373"/>
      <c r="S28" s="373"/>
    </row>
    <row r="29" spans="4:22" ht="18" x14ac:dyDescent="0.35">
      <c r="D29" s="373"/>
      <c r="E29" s="407" t="s">
        <v>148</v>
      </c>
      <c r="F29" s="909">
        <f>G18+G19</f>
        <v>803084</v>
      </c>
      <c r="G29" s="408">
        <f>F29/F31</f>
        <v>0.36318921852387842</v>
      </c>
      <c r="H29" s="404">
        <f>F23</f>
        <v>31420</v>
      </c>
      <c r="I29" s="409">
        <f>H29/H31</f>
        <v>0.65372531885233964</v>
      </c>
      <c r="J29" s="754">
        <f>L18</f>
        <v>489907</v>
      </c>
      <c r="K29" s="410">
        <f>L18/(L18+L19)</f>
        <v>0.44417919595557004</v>
      </c>
      <c r="L29" s="452">
        <f>(G29+I29+K29)/3</f>
        <v>0.48703124444392937</v>
      </c>
      <c r="M29" s="423"/>
      <c r="N29" s="411"/>
      <c r="O29" s="373"/>
      <c r="P29" s="373"/>
      <c r="Q29" s="373"/>
      <c r="R29" s="373"/>
      <c r="S29" s="373"/>
    </row>
    <row r="30" spans="4:22" ht="18" x14ac:dyDescent="0.35">
      <c r="D30" s="373"/>
      <c r="E30" s="386" t="s">
        <v>160</v>
      </c>
      <c r="F30" s="910">
        <f>G20+G21</f>
        <v>1408116</v>
      </c>
      <c r="G30" s="412">
        <f>F30/F31</f>
        <v>0.63681078147612158</v>
      </c>
      <c r="H30" s="406">
        <f>F24</f>
        <v>16643</v>
      </c>
      <c r="I30" s="413">
        <f>H30/H31</f>
        <v>0.34627468114766036</v>
      </c>
      <c r="J30" s="754">
        <f>L19</f>
        <v>613042</v>
      </c>
      <c r="K30" s="424">
        <f>L19/(L18+L19)</f>
        <v>0.55582080404443002</v>
      </c>
      <c r="L30" s="453">
        <f>(G30+I30+K30)/3</f>
        <v>0.51296875555607058</v>
      </c>
      <c r="M30" s="423"/>
      <c r="N30" s="411"/>
      <c r="O30" s="373"/>
      <c r="P30" s="373"/>
      <c r="Q30" s="373"/>
      <c r="R30" s="373"/>
      <c r="S30" s="373"/>
    </row>
    <row r="31" spans="4:22" ht="18" x14ac:dyDescent="0.35">
      <c r="D31" s="373"/>
      <c r="E31" s="913" t="s">
        <v>92</v>
      </c>
      <c r="F31" s="414">
        <f>SUM(F29:F30)</f>
        <v>2211200</v>
      </c>
      <c r="G31" s="415"/>
      <c r="H31" s="414">
        <f>SUM(H29:H30)</f>
        <v>48063</v>
      </c>
      <c r="I31" s="901"/>
      <c r="J31" s="414">
        <f>SUM(J29:J30)</f>
        <v>1102949</v>
      </c>
      <c r="K31" s="901"/>
      <c r="L31" s="902"/>
      <c r="M31" s="373"/>
      <c r="N31" s="373"/>
      <c r="O31" s="373"/>
      <c r="P31" s="373"/>
      <c r="Q31" s="373"/>
      <c r="R31" s="373"/>
      <c r="S31" s="373"/>
    </row>
    <row r="32" spans="4:22" ht="18.600000000000001" thickBot="1" x14ac:dyDescent="0.4">
      <c r="D32" s="373"/>
      <c r="E32" s="373"/>
      <c r="F32" s="373"/>
      <c r="G32" s="373"/>
      <c r="H32" s="373"/>
      <c r="I32" s="373"/>
      <c r="J32" s="373"/>
      <c r="K32" s="373"/>
      <c r="L32" s="373"/>
      <c r="M32" s="373"/>
      <c r="N32" s="373"/>
      <c r="O32" s="373"/>
      <c r="P32" s="373"/>
      <c r="Q32" s="373"/>
      <c r="R32" s="373"/>
      <c r="S32" s="373"/>
    </row>
    <row r="33" spans="4:19" ht="18.600000000000001" thickBot="1" x14ac:dyDescent="0.4">
      <c r="D33" s="373"/>
      <c r="E33" s="464" t="s">
        <v>292</v>
      </c>
      <c r="F33" s="465"/>
      <c r="G33" s="466"/>
      <c r="H33" s="373"/>
      <c r="I33" s="373"/>
      <c r="J33" s="373"/>
      <c r="K33" s="374"/>
      <c r="L33" s="373"/>
      <c r="M33" s="373"/>
      <c r="N33" s="373"/>
      <c r="O33" s="373"/>
      <c r="P33" s="373"/>
      <c r="Q33" s="373"/>
      <c r="R33" s="373"/>
      <c r="S33" s="373"/>
    </row>
    <row r="34" spans="4:19" ht="18" x14ac:dyDescent="0.35">
      <c r="D34" s="373"/>
      <c r="E34" s="416"/>
      <c r="F34" s="417" t="s">
        <v>161</v>
      </c>
      <c r="G34" s="417" t="s">
        <v>162</v>
      </c>
      <c r="H34" s="755" t="s">
        <v>163</v>
      </c>
      <c r="I34" s="762">
        <v>5339</v>
      </c>
      <c r="J34" s="762">
        <v>5310</v>
      </c>
      <c r="K34" s="374"/>
      <c r="L34" s="756"/>
      <c r="M34" s="756"/>
      <c r="N34" s="756"/>
      <c r="O34" s="373"/>
      <c r="P34" s="373"/>
      <c r="Q34" s="373"/>
      <c r="R34" s="373"/>
      <c r="S34" s="373"/>
    </row>
    <row r="35" spans="4:19" ht="18" x14ac:dyDescent="0.35">
      <c r="D35" s="373"/>
      <c r="E35" s="447" t="s">
        <v>148</v>
      </c>
      <c r="F35" s="446">
        <f>K24*L29</f>
        <v>2072010.6283936754</v>
      </c>
      <c r="G35" s="446">
        <f>F35*0.75</f>
        <v>1554007.9712952566</v>
      </c>
      <c r="H35" s="903">
        <f>F35-G35</f>
        <v>518002.6570984188</v>
      </c>
      <c r="I35" s="903">
        <f>L24*L29</f>
        <v>195406.67589579333</v>
      </c>
      <c r="J35" s="903"/>
      <c r="K35" s="374"/>
      <c r="L35" s="405"/>
      <c r="M35" s="405"/>
      <c r="N35" s="405"/>
      <c r="O35" s="756"/>
      <c r="P35" s="373"/>
      <c r="Q35" s="373"/>
      <c r="R35" s="373"/>
      <c r="S35" s="373"/>
    </row>
    <row r="36" spans="4:19" ht="18" x14ac:dyDescent="0.35">
      <c r="D36" s="373"/>
      <c r="E36" s="447" t="s">
        <v>160</v>
      </c>
      <c r="F36" s="446">
        <f>K24*L30</f>
        <v>2182358.3716063243</v>
      </c>
      <c r="G36" s="446">
        <f>F36*0.75</f>
        <v>1636768.7787047434</v>
      </c>
      <c r="H36" s="903">
        <f>F36-G36</f>
        <v>545589.59290158097</v>
      </c>
      <c r="I36" s="903">
        <f>L24*L30</f>
        <v>205813.32410420664</v>
      </c>
      <c r="J36" s="904">
        <f>M24</f>
        <v>74480</v>
      </c>
      <c r="K36" s="374"/>
      <c r="L36" s="401"/>
      <c r="M36" s="401"/>
      <c r="N36" s="401"/>
      <c r="O36" s="405"/>
      <c r="P36" s="405"/>
      <c r="Q36" s="373"/>
      <c r="R36" s="401"/>
      <c r="S36" s="373"/>
    </row>
    <row r="37" spans="4:19" ht="18" x14ac:dyDescent="0.35">
      <c r="D37" s="373"/>
      <c r="E37" s="912" t="s">
        <v>92</v>
      </c>
      <c r="F37" s="911">
        <f>SUM(F35:F36)</f>
        <v>4254369</v>
      </c>
      <c r="G37" s="911">
        <f>SUM(G35:G36)</f>
        <v>3190776.75</v>
      </c>
      <c r="H37" s="911">
        <f>SUM(H35:H36)</f>
        <v>1063592.2499999998</v>
      </c>
      <c r="I37" s="911">
        <f>SUM(I35:I36)</f>
        <v>401220</v>
      </c>
      <c r="J37" s="911">
        <f>SUM(J35:J36)</f>
        <v>74480</v>
      </c>
      <c r="K37" s="757"/>
      <c r="L37" s="758"/>
      <c r="M37" s="758"/>
      <c r="N37" s="758"/>
      <c r="O37" s="401"/>
      <c r="P37" s="401"/>
      <c r="Q37" s="373"/>
      <c r="R37" s="401"/>
      <c r="S37" s="373"/>
    </row>
    <row r="38" spans="4:19" ht="18" x14ac:dyDescent="0.35">
      <c r="D38" s="373"/>
      <c r="E38" s="373"/>
      <c r="F38" s="373"/>
      <c r="G38" s="373"/>
      <c r="H38" s="373"/>
      <c r="I38" s="759"/>
      <c r="J38" s="759"/>
      <c r="K38" s="374"/>
      <c r="L38" s="455"/>
      <c r="M38" s="455"/>
      <c r="N38" s="455"/>
      <c r="O38" s="758"/>
      <c r="P38" s="405"/>
      <c r="Q38" s="373"/>
      <c r="R38" s="373"/>
      <c r="S38" s="373"/>
    </row>
    <row r="39" spans="4:19" ht="18" x14ac:dyDescent="0.35">
      <c r="D39" s="373"/>
      <c r="E39" s="373"/>
      <c r="F39" s="373"/>
      <c r="G39" s="373"/>
      <c r="H39" s="373"/>
      <c r="I39" s="759"/>
      <c r="J39" s="759"/>
      <c r="K39" s="374"/>
      <c r="L39" s="760"/>
      <c r="M39" s="760"/>
      <c r="N39" s="760"/>
      <c r="O39" s="455"/>
      <c r="P39" s="455"/>
      <c r="Q39" s="373"/>
      <c r="R39" s="373"/>
      <c r="S39" s="373"/>
    </row>
    <row r="40" spans="4:19" ht="18" x14ac:dyDescent="0.35">
      <c r="D40" s="373"/>
      <c r="E40" s="373"/>
      <c r="F40" s="373"/>
      <c r="G40" s="373"/>
      <c r="H40" s="373"/>
      <c r="I40" s="373"/>
      <c r="J40" s="373"/>
      <c r="K40" s="761"/>
      <c r="L40" s="405"/>
      <c r="M40" s="405"/>
      <c r="N40" s="405"/>
      <c r="O40" s="760"/>
      <c r="P40" s="760"/>
      <c r="Q40" s="373"/>
      <c r="R40" s="373"/>
      <c r="S40" s="373"/>
    </row>
    <row r="41" spans="4:19" ht="18" x14ac:dyDescent="0.35">
      <c r="D41" s="373"/>
      <c r="E41" s="373"/>
      <c r="F41" s="373"/>
      <c r="G41" s="373"/>
      <c r="H41" s="373"/>
      <c r="I41" s="418"/>
      <c r="J41" s="418"/>
      <c r="O41" s="405"/>
      <c r="P41" s="405"/>
      <c r="Q41" s="373"/>
      <c r="R41" s="373"/>
      <c r="S41" s="373"/>
    </row>
    <row r="42" spans="4:19" ht="18" x14ac:dyDescent="0.35">
      <c r="D42" s="373"/>
      <c r="Q42" s="373"/>
      <c r="R42" s="373"/>
      <c r="S42" s="373"/>
    </row>
  </sheetData>
  <mergeCells count="1">
    <mergeCell ref="J28:K2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E440-1CAF-4255-B0E5-0D4D498F258F}">
  <dimension ref="A1"/>
  <sheetViews>
    <sheetView workbookViewId="0"/>
  </sheetViews>
  <sheetFormatPr defaultRowHeight="14.4" x14ac:dyDescent="0.3"/>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F4B11-89DC-48C8-8C85-5F45D5B63C93}">
  <dimension ref="A1:V28"/>
  <sheetViews>
    <sheetView topLeftCell="G1" workbookViewId="0"/>
  </sheetViews>
  <sheetFormatPr defaultRowHeight="14.4" x14ac:dyDescent="0.3"/>
  <cols>
    <col min="18" max="18" width="11.109375" customWidth="1"/>
    <col min="19" max="19" width="9.88671875" bestFit="1" customWidth="1"/>
    <col min="20" max="20" width="13.5546875" customWidth="1"/>
  </cols>
  <sheetData>
    <row r="1" spans="1:22" x14ac:dyDescent="0.3">
      <c r="A1" s="362" t="s">
        <v>209</v>
      </c>
      <c r="B1" s="362"/>
      <c r="C1" s="362"/>
      <c r="D1" s="362"/>
      <c r="E1" s="362"/>
      <c r="F1" s="362"/>
      <c r="G1" s="362"/>
      <c r="H1" s="362"/>
    </row>
    <row r="7" spans="1:22" x14ac:dyDescent="0.3">
      <c r="S7" s="83"/>
      <c r="T7" s="82"/>
    </row>
    <row r="8" spans="1:22" x14ac:dyDescent="0.3">
      <c r="S8" s="437" t="s">
        <v>193</v>
      </c>
      <c r="T8" s="436"/>
    </row>
    <row r="9" spans="1:22" x14ac:dyDescent="0.3">
      <c r="S9" s="440" t="s">
        <v>175</v>
      </c>
      <c r="T9" s="437" t="s">
        <v>176</v>
      </c>
    </row>
    <row r="10" spans="1:22" ht="15" thickBot="1" x14ac:dyDescent="0.35">
      <c r="S10" s="434">
        <f>6131022/28294</f>
        <v>216.68982823213403</v>
      </c>
      <c r="T10" s="435">
        <v>12</v>
      </c>
      <c r="U10" s="437" t="s">
        <v>148</v>
      </c>
      <c r="V10" s="436"/>
    </row>
    <row r="11" spans="1:22" ht="17.25" customHeight="1" x14ac:dyDescent="0.3">
      <c r="S11" s="426">
        <f>6532640/66679</f>
        <v>97.971475277073736</v>
      </c>
      <c r="T11" s="427">
        <v>27</v>
      </c>
      <c r="U11" s="437" t="s">
        <v>184</v>
      </c>
      <c r="V11" s="436"/>
    </row>
    <row r="12" spans="1:22" ht="16.95" customHeight="1" x14ac:dyDescent="0.3">
      <c r="S12" s="428">
        <f>5187138/52795</f>
        <v>98.250554029737671</v>
      </c>
      <c r="T12" s="429">
        <v>37</v>
      </c>
      <c r="U12" s="437" t="s">
        <v>177</v>
      </c>
      <c r="V12" s="436"/>
    </row>
    <row r="13" spans="1:22" ht="16.95" customHeight="1" x14ac:dyDescent="0.3">
      <c r="S13" s="430">
        <f>5603319/57175</f>
        <v>98.002955837341489</v>
      </c>
      <c r="T13" s="431">
        <v>28</v>
      </c>
      <c r="U13" s="437" t="s">
        <v>178</v>
      </c>
      <c r="V13" s="436"/>
    </row>
    <row r="14" spans="1:22" x14ac:dyDescent="0.3">
      <c r="S14" s="430">
        <f>3558126/40400</f>
        <v>88.072425742574254</v>
      </c>
      <c r="T14" s="431">
        <v>32</v>
      </c>
      <c r="U14" s="437" t="s">
        <v>185</v>
      </c>
      <c r="V14" s="436"/>
    </row>
    <row r="15" spans="1:22" x14ac:dyDescent="0.3">
      <c r="S15" s="430">
        <f>4672736/41060</f>
        <v>113.80263029712616</v>
      </c>
      <c r="T15" s="431">
        <v>22</v>
      </c>
      <c r="U15" s="437" t="s">
        <v>182</v>
      </c>
      <c r="V15" s="436"/>
    </row>
    <row r="16" spans="1:22" ht="19.2" customHeight="1" x14ac:dyDescent="0.3">
      <c r="S16" s="430">
        <f>11491801/72927</f>
        <v>157.57951101786719</v>
      </c>
      <c r="T16" s="431">
        <v>21</v>
      </c>
      <c r="U16" s="437" t="s">
        <v>179</v>
      </c>
      <c r="V16" s="436"/>
    </row>
    <row r="17" spans="1:22" x14ac:dyDescent="0.3">
      <c r="S17" s="430">
        <f>9677785/55759</f>
        <v>173.56453666672644</v>
      </c>
      <c r="T17" s="431">
        <v>31</v>
      </c>
      <c r="U17" s="437" t="s">
        <v>181</v>
      </c>
      <c r="V17" s="436"/>
    </row>
    <row r="18" spans="1:22" ht="15.45" customHeight="1" x14ac:dyDescent="0.3">
      <c r="S18" s="430">
        <f>11504947/79931</f>
        <v>143.93598228472058</v>
      </c>
      <c r="T18" s="431">
        <v>22</v>
      </c>
      <c r="U18" s="437" t="s">
        <v>180</v>
      </c>
      <c r="V18" s="436"/>
    </row>
    <row r="19" spans="1:22" x14ac:dyDescent="0.3">
      <c r="S19" s="430">
        <f>11400000/74899</f>
        <v>152.20496935873643</v>
      </c>
      <c r="T19" s="431">
        <v>33</v>
      </c>
      <c r="U19" s="437" t="s">
        <v>183</v>
      </c>
      <c r="V19" s="436"/>
    </row>
    <row r="20" spans="1:22" x14ac:dyDescent="0.3">
      <c r="S20" s="430"/>
      <c r="T20" s="431"/>
      <c r="U20" s="436"/>
      <c r="V20" s="436"/>
    </row>
    <row r="21" spans="1:22" ht="15" thickBot="1" x14ac:dyDescent="0.35">
      <c r="S21" s="432">
        <f>46190159/246091</f>
        <v>187.69544193001775</v>
      </c>
      <c r="T21" s="433">
        <v>98</v>
      </c>
      <c r="U21" s="437" t="s">
        <v>186</v>
      </c>
      <c r="V21" s="425"/>
    </row>
    <row r="22" spans="1:22" x14ac:dyDescent="0.3">
      <c r="R22" s="436"/>
      <c r="S22" s="438">
        <f>AVERAGE(S11:S21)</f>
        <v>131.10804824419216</v>
      </c>
      <c r="T22" s="441" t="s">
        <v>190</v>
      </c>
      <c r="U22" s="436"/>
      <c r="V22" s="436"/>
    </row>
    <row r="23" spans="1:22" ht="15" thickBot="1" x14ac:dyDescent="0.35">
      <c r="R23" s="439">
        <v>0.34</v>
      </c>
      <c r="S23" s="438">
        <f>S22*R23</f>
        <v>44.576736403025336</v>
      </c>
      <c r="T23" s="437" t="s">
        <v>191</v>
      </c>
      <c r="U23" s="436"/>
      <c r="V23" s="436"/>
    </row>
    <row r="24" spans="1:22" ht="15.6" thickTop="1" thickBot="1" x14ac:dyDescent="0.35">
      <c r="R24" s="439"/>
      <c r="S24" s="442">
        <f>SUM(S22:S23)</f>
        <v>175.6847846472175</v>
      </c>
      <c r="T24" s="443" t="s">
        <v>192</v>
      </c>
      <c r="U24" s="436"/>
      <c r="V24" s="436"/>
    </row>
    <row r="25" spans="1:22" ht="16.2" thickTop="1" x14ac:dyDescent="0.3">
      <c r="A25" s="1384" t="s">
        <v>208</v>
      </c>
      <c r="B25" s="1385"/>
      <c r="C25" s="1385"/>
      <c r="D25" s="1385"/>
      <c r="E25" s="1385"/>
      <c r="F25" s="1385"/>
      <c r="G25" s="1385"/>
      <c r="H25" s="1385"/>
      <c r="I25" s="1385"/>
      <c r="J25" s="1385"/>
      <c r="R25" s="439"/>
      <c r="S25" s="440" t="s">
        <v>188</v>
      </c>
      <c r="T25" s="440" t="s">
        <v>189</v>
      </c>
      <c r="U25" s="436"/>
      <c r="V25" s="436"/>
    </row>
    <row r="26" spans="1:22" ht="15.6" x14ac:dyDescent="0.3">
      <c r="A26" s="1384" t="s">
        <v>199</v>
      </c>
      <c r="B26" s="1385"/>
      <c r="C26" s="1385"/>
      <c r="D26" s="1385"/>
      <c r="E26" s="1385"/>
      <c r="F26" s="1385"/>
      <c r="G26" s="1385"/>
      <c r="H26" s="1385"/>
      <c r="I26" s="1385"/>
      <c r="J26" s="1385"/>
      <c r="R26" s="439"/>
      <c r="S26" s="438">
        <f>(S11+S12+S13+S15+S16+S17+S18+S19)/8</f>
        <v>129.41407684616621</v>
      </c>
      <c r="T26" s="438">
        <f>(S11+S12+S15+S17+S18+S21)/6</f>
        <v>135.87010341423374</v>
      </c>
      <c r="U26" s="436"/>
      <c r="V26" s="436"/>
    </row>
    <row r="27" spans="1:22" x14ac:dyDescent="0.3">
      <c r="R27" s="439">
        <v>0.28899999999999998</v>
      </c>
      <c r="S27" s="438">
        <f>S26*R27</f>
        <v>37.400668208542029</v>
      </c>
      <c r="T27" s="444">
        <f>T26*R27</f>
        <v>39.266459886713548</v>
      </c>
      <c r="U27" s="436"/>
      <c r="V27" s="436"/>
    </row>
    <row r="28" spans="1:22" x14ac:dyDescent="0.3">
      <c r="R28" s="436"/>
      <c r="S28" s="438">
        <f>S26+S27</f>
        <v>166.81474505470823</v>
      </c>
      <c r="T28" s="438">
        <f>T26+T27</f>
        <v>175.13656330094727</v>
      </c>
      <c r="U28" s="436"/>
      <c r="V28" s="436"/>
    </row>
  </sheetData>
  <mergeCells count="2">
    <mergeCell ref="A25:J25"/>
    <mergeCell ref="A26:J26"/>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3BA36-DED7-4FAC-8171-17E7BEA50881}">
  <dimension ref="B3:AC141"/>
  <sheetViews>
    <sheetView workbookViewId="0"/>
  </sheetViews>
  <sheetFormatPr defaultRowHeight="14.4" x14ac:dyDescent="0.3"/>
  <sheetData>
    <row r="3" spans="2:29" x14ac:dyDescent="0.3">
      <c r="B3" s="94"/>
      <c r="C3" s="94"/>
      <c r="D3" s="94"/>
      <c r="E3" s="94"/>
      <c r="F3" s="94"/>
      <c r="G3" s="94"/>
      <c r="H3" s="94"/>
      <c r="I3" s="94"/>
      <c r="J3" s="94"/>
      <c r="K3" s="94"/>
      <c r="L3" s="94"/>
      <c r="M3" s="94"/>
      <c r="N3" s="94"/>
      <c r="O3" s="94"/>
      <c r="P3" s="94"/>
      <c r="Q3" s="94"/>
      <c r="R3" s="94"/>
      <c r="S3" s="94"/>
      <c r="T3" s="94"/>
      <c r="U3" s="94"/>
      <c r="V3" s="94"/>
      <c r="W3" s="94"/>
      <c r="X3" s="94"/>
      <c r="Y3" s="94"/>
      <c r="Z3" s="94"/>
      <c r="AA3" s="94"/>
      <c r="AB3" s="94"/>
      <c r="AC3" s="94"/>
    </row>
    <row r="4" spans="2:29" x14ac:dyDescent="0.3">
      <c r="B4" s="94"/>
      <c r="C4" s="94"/>
      <c r="D4" s="94"/>
      <c r="E4" s="94"/>
      <c r="F4" s="94"/>
      <c r="G4" s="94"/>
      <c r="H4" s="94"/>
      <c r="I4" s="94"/>
      <c r="J4" s="94"/>
      <c r="K4" s="94"/>
      <c r="L4" s="94"/>
      <c r="M4" s="94"/>
      <c r="N4" s="94"/>
      <c r="O4" s="94"/>
      <c r="P4" s="94"/>
      <c r="Q4" s="94"/>
      <c r="R4" s="94"/>
      <c r="S4" s="94"/>
      <c r="T4" s="94"/>
      <c r="U4" s="94"/>
      <c r="V4" s="94"/>
      <c r="W4" s="94"/>
      <c r="X4" s="94"/>
      <c r="Y4" s="94"/>
      <c r="Z4" s="94"/>
      <c r="AA4" s="94"/>
      <c r="AB4" s="94"/>
      <c r="AC4" s="94"/>
    </row>
    <row r="5" spans="2:29" x14ac:dyDescent="0.3">
      <c r="B5" s="94"/>
      <c r="C5" s="94"/>
      <c r="D5" s="94"/>
      <c r="E5" s="94"/>
      <c r="F5" s="94"/>
      <c r="G5" s="94"/>
      <c r="H5" s="94"/>
      <c r="I5" s="94"/>
      <c r="J5" s="94"/>
      <c r="K5" s="94"/>
      <c r="L5" s="94"/>
      <c r="M5" s="94"/>
      <c r="N5" s="94"/>
      <c r="O5" s="94"/>
      <c r="P5" s="94"/>
      <c r="Q5" s="94"/>
      <c r="R5" s="94"/>
      <c r="S5" s="94"/>
      <c r="T5" s="94"/>
      <c r="U5" s="94"/>
      <c r="V5" s="94"/>
      <c r="W5" s="94"/>
      <c r="X5" s="94"/>
      <c r="Y5" s="94"/>
      <c r="Z5" s="94"/>
      <c r="AA5" s="94"/>
      <c r="AB5" s="94"/>
      <c r="AC5" s="94"/>
    </row>
    <row r="6" spans="2:29" x14ac:dyDescent="0.3">
      <c r="B6" s="94"/>
      <c r="C6" s="94"/>
      <c r="D6" s="94"/>
      <c r="E6" s="94"/>
      <c r="F6" s="94"/>
      <c r="G6" s="94"/>
      <c r="H6" s="94"/>
      <c r="I6" s="94"/>
      <c r="J6" s="94"/>
      <c r="K6" s="94"/>
      <c r="L6" s="94"/>
      <c r="M6" s="94"/>
      <c r="N6" s="94"/>
      <c r="O6" s="94"/>
      <c r="P6" s="94"/>
      <c r="Q6" s="94"/>
      <c r="R6" s="94"/>
      <c r="S6" s="94"/>
      <c r="T6" s="94"/>
      <c r="U6" s="94"/>
      <c r="V6" s="94"/>
      <c r="W6" s="94"/>
      <c r="X6" s="94"/>
      <c r="Y6" s="94"/>
      <c r="Z6" s="94"/>
      <c r="AA6" s="94"/>
      <c r="AB6" s="94"/>
      <c r="AC6" s="94"/>
    </row>
    <row r="7" spans="2:29" x14ac:dyDescent="0.3">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row>
    <row r="8" spans="2:29" x14ac:dyDescent="0.3">
      <c r="B8" s="94"/>
      <c r="C8" s="94"/>
      <c r="D8" s="94"/>
      <c r="E8" s="94"/>
      <c r="F8" s="94"/>
      <c r="G8" s="94"/>
      <c r="H8" s="94"/>
      <c r="I8" s="94"/>
      <c r="J8" s="94"/>
      <c r="K8" s="94"/>
      <c r="L8" s="94"/>
      <c r="M8" s="94"/>
      <c r="N8" s="94"/>
      <c r="O8" s="94"/>
      <c r="P8" s="94"/>
      <c r="Q8" s="94"/>
      <c r="R8" s="94"/>
      <c r="S8" s="94"/>
      <c r="T8" s="94"/>
      <c r="U8" s="94"/>
      <c r="V8" s="94"/>
      <c r="W8" s="94"/>
      <c r="X8" s="94"/>
      <c r="Y8" s="94"/>
      <c r="Z8" s="94"/>
      <c r="AA8" s="94"/>
      <c r="AB8" s="94"/>
      <c r="AC8" s="94"/>
    </row>
    <row r="9" spans="2:29" x14ac:dyDescent="0.3">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row>
    <row r="10" spans="2:29" x14ac:dyDescent="0.3">
      <c r="B10" s="94"/>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row>
    <row r="11" spans="2:29" x14ac:dyDescent="0.3">
      <c r="B11" s="94"/>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row>
    <row r="12" spans="2:29" x14ac:dyDescent="0.3">
      <c r="B12" s="94"/>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94"/>
      <c r="AC12" s="94"/>
    </row>
    <row r="13" spans="2:29" x14ac:dyDescent="0.3">
      <c r="B13" s="94"/>
      <c r="C13" s="94"/>
      <c r="D13" s="94"/>
      <c r="E13" s="94"/>
      <c r="F13" s="94"/>
      <c r="G13" s="94"/>
      <c r="H13" s="94"/>
      <c r="I13" s="94"/>
      <c r="J13" s="94"/>
      <c r="K13" s="94"/>
      <c r="L13" s="94"/>
      <c r="M13" s="94"/>
      <c r="N13" s="94"/>
      <c r="O13" s="94"/>
      <c r="P13" s="94"/>
      <c r="Q13" s="94"/>
      <c r="R13" s="94"/>
      <c r="S13" s="94"/>
      <c r="T13" s="94"/>
      <c r="U13" s="94"/>
      <c r="V13" s="94"/>
      <c r="W13" s="94"/>
      <c r="X13" s="94"/>
      <c r="Y13" s="94"/>
      <c r="Z13" s="94"/>
      <c r="AA13" s="94"/>
      <c r="AB13" s="94"/>
      <c r="AC13" s="94"/>
    </row>
    <row r="14" spans="2:29" x14ac:dyDescent="0.3">
      <c r="B14" s="94"/>
      <c r="C14" s="94"/>
      <c r="D14" s="94"/>
      <c r="E14" s="94"/>
      <c r="F14" s="94"/>
      <c r="G14" s="94"/>
      <c r="H14" s="94"/>
      <c r="I14" s="94"/>
      <c r="J14" s="94"/>
      <c r="K14" s="94"/>
      <c r="L14" s="94"/>
      <c r="M14" s="94"/>
      <c r="N14" s="94"/>
      <c r="O14" s="94"/>
      <c r="P14" s="94"/>
      <c r="Q14" s="94"/>
      <c r="R14" s="94"/>
      <c r="S14" s="94"/>
      <c r="T14" s="94"/>
      <c r="U14" s="94"/>
      <c r="V14" s="94"/>
      <c r="W14" s="94"/>
      <c r="X14" s="94"/>
      <c r="Y14" s="94"/>
      <c r="Z14" s="94"/>
      <c r="AA14" s="94"/>
      <c r="AB14" s="94"/>
      <c r="AC14" s="94"/>
    </row>
    <row r="15" spans="2:29" x14ac:dyDescent="0.3">
      <c r="B15" s="94"/>
      <c r="C15" s="94"/>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row>
    <row r="16" spans="2:29" x14ac:dyDescent="0.3">
      <c r="B16" s="94"/>
      <c r="C16" s="94"/>
      <c r="D16" s="94"/>
      <c r="E16" s="94"/>
      <c r="F16" s="94"/>
      <c r="G16" s="94"/>
      <c r="H16" s="94"/>
      <c r="I16" s="94"/>
      <c r="J16" s="94"/>
      <c r="K16" s="94"/>
      <c r="L16" s="94"/>
      <c r="M16" s="94"/>
      <c r="N16" s="94"/>
      <c r="O16" s="94"/>
      <c r="P16" s="94"/>
      <c r="Q16" s="94"/>
      <c r="R16" s="94"/>
      <c r="S16" s="94"/>
      <c r="T16" s="94"/>
      <c r="U16" s="94"/>
      <c r="V16" s="94"/>
      <c r="W16" s="94"/>
      <c r="X16" s="94"/>
      <c r="Y16" s="94"/>
      <c r="Z16" s="94"/>
      <c r="AA16" s="94"/>
      <c r="AB16" s="94"/>
      <c r="AC16" s="94"/>
    </row>
    <row r="17" spans="2:29" x14ac:dyDescent="0.3">
      <c r="B17" s="94"/>
      <c r="C17" s="94"/>
      <c r="D17" s="94"/>
      <c r="E17" s="94"/>
      <c r="F17" s="94"/>
      <c r="G17" s="94"/>
      <c r="H17" s="94"/>
      <c r="I17" s="94"/>
      <c r="J17" s="94"/>
      <c r="K17" s="94"/>
      <c r="L17" s="94"/>
      <c r="M17" s="94"/>
      <c r="N17" s="94"/>
      <c r="O17" s="94"/>
      <c r="P17" s="94"/>
      <c r="Q17" s="94"/>
      <c r="R17" s="94"/>
      <c r="S17" s="94"/>
      <c r="T17" s="94"/>
      <c r="U17" s="94"/>
      <c r="V17" s="94"/>
      <c r="W17" s="94"/>
      <c r="X17" s="94"/>
      <c r="Y17" s="94"/>
      <c r="Z17" s="94"/>
      <c r="AA17" s="94"/>
      <c r="AB17" s="94"/>
      <c r="AC17" s="94"/>
    </row>
    <row r="18" spans="2:29" x14ac:dyDescent="0.3">
      <c r="B18" s="94"/>
      <c r="C18" s="94"/>
      <c r="D18" s="94"/>
      <c r="E18" s="94"/>
      <c r="F18" s="94"/>
      <c r="G18" s="94"/>
      <c r="H18" s="94"/>
      <c r="I18" s="94"/>
      <c r="J18" s="94"/>
      <c r="K18" s="94"/>
      <c r="L18" s="94"/>
      <c r="M18" s="94"/>
      <c r="N18" s="94"/>
      <c r="O18" s="94"/>
      <c r="P18" s="94"/>
      <c r="Q18" s="94"/>
      <c r="R18" s="94"/>
      <c r="S18" s="94"/>
      <c r="T18" s="94"/>
      <c r="U18" s="94"/>
      <c r="V18" s="94"/>
      <c r="W18" s="94"/>
      <c r="X18" s="94"/>
      <c r="Y18" s="94"/>
      <c r="Z18" s="94"/>
      <c r="AA18" s="94"/>
      <c r="AB18" s="94"/>
      <c r="AC18" s="94"/>
    </row>
    <row r="19" spans="2:29" x14ac:dyDescent="0.3">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4"/>
      <c r="AB19" s="94"/>
      <c r="AC19" s="94"/>
    </row>
    <row r="20" spans="2:29" x14ac:dyDescent="0.3">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4"/>
    </row>
    <row r="21" spans="2:29" x14ac:dyDescent="0.3">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4"/>
    </row>
    <row r="22" spans="2:29" x14ac:dyDescent="0.3">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row>
    <row r="23" spans="2:29" x14ac:dyDescent="0.3">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row>
    <row r="24" spans="2:29" x14ac:dyDescent="0.3">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row>
    <row r="25" spans="2:29" x14ac:dyDescent="0.3">
      <c r="B25" s="94"/>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4"/>
      <c r="AC25" s="94"/>
    </row>
    <row r="26" spans="2:29" x14ac:dyDescent="0.3">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row>
    <row r="27" spans="2:29" x14ac:dyDescent="0.3">
      <c r="B27" s="94"/>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4"/>
      <c r="AC27" s="94"/>
    </row>
    <row r="28" spans="2:29" x14ac:dyDescent="0.3">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4"/>
      <c r="AC28" s="94"/>
    </row>
    <row r="29" spans="2:29" x14ac:dyDescent="0.3">
      <c r="B29" s="9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row>
    <row r="30" spans="2:29" x14ac:dyDescent="0.3">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row>
    <row r="31" spans="2:29" x14ac:dyDescent="0.3">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row>
    <row r="32" spans="2:29" x14ac:dyDescent="0.3">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row>
    <row r="33" spans="2:29" x14ac:dyDescent="0.3">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row>
    <row r="34" spans="2:29" x14ac:dyDescent="0.3">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row>
    <row r="35" spans="2:29" x14ac:dyDescent="0.3">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row>
    <row r="36" spans="2:29" x14ac:dyDescent="0.3">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row>
    <row r="37" spans="2:29" x14ac:dyDescent="0.3">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row>
    <row r="38" spans="2:29" x14ac:dyDescent="0.3">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row>
    <row r="39" spans="2:29" x14ac:dyDescent="0.3">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row>
    <row r="40" spans="2:29" x14ac:dyDescent="0.3">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row>
    <row r="41" spans="2:29" x14ac:dyDescent="0.3">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row>
    <row r="42" spans="2:29" x14ac:dyDescent="0.3">
      <c r="B42" s="9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row>
    <row r="43" spans="2:29" x14ac:dyDescent="0.3">
      <c r="B43" s="9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row>
    <row r="44" spans="2:29" x14ac:dyDescent="0.3">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row>
    <row r="45" spans="2:29" x14ac:dyDescent="0.3">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row>
    <row r="46" spans="2:29" x14ac:dyDescent="0.3">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row>
    <row r="47" spans="2:29" x14ac:dyDescent="0.3">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row>
    <row r="48" spans="2:29" x14ac:dyDescent="0.3">
      <c r="B48" s="94"/>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row>
    <row r="49" spans="2:29" x14ac:dyDescent="0.3">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row>
    <row r="50" spans="2:29" x14ac:dyDescent="0.3">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row>
    <row r="51" spans="2:29" x14ac:dyDescent="0.3">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row>
    <row r="52" spans="2:29" x14ac:dyDescent="0.3">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row>
    <row r="53" spans="2:29" x14ac:dyDescent="0.3">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row>
    <row r="54" spans="2:29" x14ac:dyDescent="0.3">
      <c r="B54" s="94"/>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row>
    <row r="55" spans="2:29" x14ac:dyDescent="0.3">
      <c r="B55" s="94"/>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row>
    <row r="56" spans="2:29" x14ac:dyDescent="0.3">
      <c r="B56" s="94"/>
      <c r="C56" s="94"/>
      <c r="D56" s="94"/>
      <c r="E56" s="94"/>
      <c r="F56" s="94"/>
      <c r="G56" s="94"/>
      <c r="H56" s="94"/>
      <c r="I56" s="94"/>
      <c r="J56" s="94"/>
      <c r="K56" s="94"/>
      <c r="L56" s="94"/>
      <c r="M56" s="94"/>
      <c r="N56" s="94"/>
      <c r="O56" s="94"/>
      <c r="P56" s="94"/>
      <c r="Q56" s="94"/>
      <c r="R56" s="94"/>
      <c r="S56" s="94"/>
      <c r="T56" s="94"/>
      <c r="U56" s="94"/>
      <c r="V56" s="94"/>
      <c r="W56" s="94"/>
      <c r="X56" s="94"/>
      <c r="Y56" s="94"/>
      <c r="Z56" s="94"/>
      <c r="AA56" s="94"/>
      <c r="AB56" s="94"/>
      <c r="AC56" s="94"/>
    </row>
    <row r="57" spans="2:29" x14ac:dyDescent="0.3">
      <c r="B57" s="94"/>
      <c r="C57" s="94"/>
      <c r="D57" s="94"/>
      <c r="E57" s="94"/>
      <c r="F57" s="94"/>
      <c r="G57" s="94"/>
      <c r="H57" s="94"/>
      <c r="I57" s="94"/>
      <c r="J57" s="94"/>
      <c r="K57" s="94"/>
      <c r="L57" s="94"/>
      <c r="M57" s="94"/>
      <c r="N57" s="94"/>
      <c r="O57" s="94"/>
      <c r="P57" s="94"/>
      <c r="Q57" s="94"/>
      <c r="R57" s="94"/>
      <c r="S57" s="94"/>
      <c r="T57" s="94"/>
      <c r="U57" s="94"/>
      <c r="V57" s="94"/>
      <c r="W57" s="94"/>
      <c r="X57" s="94"/>
      <c r="Y57" s="94"/>
      <c r="Z57" s="94"/>
      <c r="AA57" s="94"/>
      <c r="AB57" s="94"/>
      <c r="AC57" s="94"/>
    </row>
    <row r="58" spans="2:29" x14ac:dyDescent="0.3">
      <c r="B58" s="94"/>
      <c r="C58" s="94"/>
      <c r="D58" s="94"/>
      <c r="E58" s="94"/>
      <c r="F58" s="94"/>
      <c r="G58" s="94"/>
      <c r="H58" s="94"/>
      <c r="I58" s="94"/>
      <c r="J58" s="94"/>
      <c r="K58" s="94"/>
      <c r="L58" s="94"/>
      <c r="M58" s="94"/>
      <c r="N58" s="94"/>
      <c r="O58" s="94"/>
      <c r="P58" s="94"/>
      <c r="Q58" s="94"/>
      <c r="R58" s="94"/>
      <c r="S58" s="94"/>
      <c r="T58" s="94"/>
      <c r="U58" s="94"/>
      <c r="V58" s="94"/>
      <c r="W58" s="94"/>
      <c r="X58" s="94"/>
      <c r="Y58" s="94"/>
      <c r="Z58" s="94"/>
      <c r="AA58" s="94"/>
      <c r="AB58" s="94"/>
      <c r="AC58" s="94"/>
    </row>
    <row r="59" spans="2:29" x14ac:dyDescent="0.3">
      <c r="B59" s="94"/>
      <c r="C59" s="94"/>
      <c r="D59" s="94"/>
      <c r="E59" s="94"/>
      <c r="F59" s="94"/>
      <c r="G59" s="94"/>
      <c r="H59" s="94"/>
      <c r="I59" s="94"/>
      <c r="J59" s="94"/>
      <c r="K59" s="94"/>
      <c r="L59" s="94"/>
      <c r="M59" s="94"/>
      <c r="N59" s="94"/>
      <c r="O59" s="94"/>
      <c r="P59" s="94"/>
      <c r="Q59" s="94"/>
      <c r="R59" s="94"/>
      <c r="S59" s="94"/>
      <c r="T59" s="94"/>
      <c r="U59" s="94"/>
      <c r="V59" s="94"/>
      <c r="W59" s="94"/>
      <c r="X59" s="94"/>
      <c r="Y59" s="94"/>
      <c r="Z59" s="94"/>
      <c r="AA59" s="94"/>
      <c r="AB59" s="94"/>
      <c r="AC59" s="94"/>
    </row>
    <row r="60" spans="2:29" x14ac:dyDescent="0.3">
      <c r="B60" s="94"/>
      <c r="C60" s="94"/>
      <c r="D60" s="94"/>
      <c r="E60" s="94"/>
      <c r="F60" s="94"/>
      <c r="G60" s="94"/>
      <c r="H60" s="94"/>
      <c r="I60" s="94"/>
      <c r="J60" s="94"/>
      <c r="K60" s="94"/>
      <c r="L60" s="94"/>
      <c r="M60" s="94"/>
      <c r="N60" s="94"/>
      <c r="O60" s="94"/>
      <c r="P60" s="94"/>
      <c r="Q60" s="94"/>
      <c r="R60" s="94"/>
      <c r="S60" s="94"/>
      <c r="T60" s="94"/>
      <c r="U60" s="94"/>
      <c r="V60" s="94"/>
      <c r="W60" s="94"/>
      <c r="X60" s="94"/>
      <c r="Y60" s="94"/>
      <c r="Z60" s="94"/>
      <c r="AA60" s="94"/>
      <c r="AB60" s="94"/>
      <c r="AC60" s="94"/>
    </row>
    <row r="61" spans="2:29" x14ac:dyDescent="0.3">
      <c r="B61" s="94"/>
      <c r="C61" s="94"/>
      <c r="D61" s="94"/>
      <c r="E61" s="94"/>
      <c r="F61" s="94"/>
      <c r="G61" s="94"/>
      <c r="H61" s="94"/>
      <c r="I61" s="94"/>
      <c r="J61" s="94"/>
      <c r="K61" s="94"/>
      <c r="L61" s="94"/>
      <c r="M61" s="94"/>
      <c r="N61" s="94"/>
      <c r="O61" s="94"/>
      <c r="P61" s="94"/>
      <c r="Q61" s="94"/>
      <c r="R61" s="94"/>
      <c r="S61" s="94"/>
      <c r="T61" s="94"/>
      <c r="U61" s="94"/>
      <c r="V61" s="94"/>
      <c r="W61" s="94"/>
      <c r="X61" s="94"/>
      <c r="Y61" s="94"/>
      <c r="Z61" s="94"/>
      <c r="AA61" s="94"/>
      <c r="AB61" s="94"/>
      <c r="AC61" s="94"/>
    </row>
    <row r="62" spans="2:29" x14ac:dyDescent="0.3">
      <c r="B62" s="9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row>
    <row r="63" spans="2:29" x14ac:dyDescent="0.3">
      <c r="B63" s="94"/>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row>
    <row r="64" spans="2:29" x14ac:dyDescent="0.3">
      <c r="B64" s="9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row>
    <row r="65" spans="2:29" x14ac:dyDescent="0.3">
      <c r="B65" s="94"/>
      <c r="C65" s="94"/>
      <c r="D65" s="94"/>
      <c r="E65" s="94"/>
      <c r="F65" s="94"/>
      <c r="G65" s="94"/>
      <c r="H65" s="94"/>
      <c r="I65" s="94"/>
      <c r="J65" s="94"/>
      <c r="K65" s="94"/>
      <c r="L65" s="94"/>
      <c r="M65" s="94"/>
      <c r="N65" s="94"/>
      <c r="O65" s="94"/>
      <c r="P65" s="94"/>
      <c r="Q65" s="94"/>
      <c r="R65" s="94"/>
      <c r="S65" s="94"/>
      <c r="T65" s="94"/>
      <c r="U65" s="94"/>
      <c r="V65" s="94"/>
      <c r="W65" s="94"/>
      <c r="X65" s="94"/>
      <c r="Y65" s="94"/>
      <c r="Z65" s="94"/>
      <c r="AA65" s="94"/>
      <c r="AB65" s="94"/>
      <c r="AC65" s="94"/>
    </row>
    <row r="66" spans="2:29" x14ac:dyDescent="0.3">
      <c r="B66" s="94"/>
      <c r="C66" s="94"/>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row>
    <row r="67" spans="2:29" x14ac:dyDescent="0.3">
      <c r="B67" s="94"/>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row>
    <row r="68" spans="2:29" x14ac:dyDescent="0.3">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row>
    <row r="69" spans="2:29" x14ac:dyDescent="0.3">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row>
    <row r="70" spans="2:29" x14ac:dyDescent="0.3">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row>
    <row r="71" spans="2:29" x14ac:dyDescent="0.3">
      <c r="B71" s="94"/>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94"/>
      <c r="AC71" s="94"/>
    </row>
    <row r="72" spans="2:29" x14ac:dyDescent="0.3">
      <c r="B72" s="94"/>
      <c r="C72" s="94"/>
      <c r="D72" s="94"/>
      <c r="E72" s="94"/>
      <c r="F72" s="94"/>
      <c r="G72" s="94"/>
      <c r="H72" s="94"/>
      <c r="I72" s="94"/>
      <c r="J72" s="94"/>
      <c r="K72" s="94"/>
      <c r="L72" s="94"/>
      <c r="M72" s="94"/>
      <c r="N72" s="94"/>
      <c r="O72" s="94"/>
      <c r="P72" s="94"/>
      <c r="Q72" s="94"/>
      <c r="R72" s="94"/>
      <c r="S72" s="94"/>
      <c r="T72" s="94"/>
      <c r="U72" s="94"/>
      <c r="V72" s="94"/>
      <c r="W72" s="94"/>
      <c r="X72" s="94"/>
      <c r="Y72" s="94"/>
      <c r="Z72" s="94"/>
      <c r="AA72" s="94"/>
      <c r="AB72" s="94"/>
      <c r="AC72" s="94"/>
    </row>
    <row r="73" spans="2:29" x14ac:dyDescent="0.3">
      <c r="B73" s="94"/>
      <c r="C73" s="94"/>
      <c r="D73" s="94"/>
      <c r="E73" s="94"/>
      <c r="F73" s="94"/>
      <c r="G73" s="94"/>
      <c r="H73" s="94"/>
      <c r="I73" s="94"/>
      <c r="J73" s="94"/>
      <c r="K73" s="94"/>
      <c r="L73" s="94"/>
      <c r="M73" s="94"/>
      <c r="N73" s="94"/>
      <c r="O73" s="94"/>
      <c r="P73" s="94"/>
      <c r="Q73" s="94"/>
      <c r="R73" s="94"/>
      <c r="S73" s="94"/>
      <c r="T73" s="94"/>
      <c r="U73" s="94"/>
      <c r="V73" s="94"/>
      <c r="W73" s="94"/>
      <c r="X73" s="94"/>
      <c r="Y73" s="94"/>
      <c r="Z73" s="94"/>
      <c r="AA73" s="94"/>
      <c r="AB73" s="94"/>
      <c r="AC73" s="94"/>
    </row>
    <row r="74" spans="2:29" x14ac:dyDescent="0.3">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row>
    <row r="75" spans="2:29" x14ac:dyDescent="0.3">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row>
    <row r="76" spans="2:29" x14ac:dyDescent="0.3">
      <c r="B76" s="9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row>
    <row r="77" spans="2:29" x14ac:dyDescent="0.3">
      <c r="B77" s="9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row>
    <row r="78" spans="2:29" x14ac:dyDescent="0.3">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row>
    <row r="79" spans="2:29" x14ac:dyDescent="0.3">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row>
    <row r="80" spans="2:29" x14ac:dyDescent="0.3">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row>
    <row r="81" spans="2:29" x14ac:dyDescent="0.3">
      <c r="B81" s="9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row>
    <row r="82" spans="2:29" x14ac:dyDescent="0.3">
      <c r="B82" s="9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row>
    <row r="83" spans="2:29" x14ac:dyDescent="0.3">
      <c r="B83" s="94"/>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94"/>
      <c r="AC83" s="94"/>
    </row>
    <row r="84" spans="2:29" x14ac:dyDescent="0.3">
      <c r="B84" s="94"/>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94"/>
      <c r="AC84" s="94"/>
    </row>
    <row r="85" spans="2:29" x14ac:dyDescent="0.3">
      <c r="B85" s="94"/>
      <c r="C85" s="94"/>
      <c r="D85" s="94"/>
      <c r="E85" s="94"/>
      <c r="F85" s="94"/>
      <c r="G85" s="94"/>
      <c r="H85" s="94"/>
      <c r="I85" s="94"/>
      <c r="J85" s="94"/>
      <c r="K85" s="94"/>
      <c r="L85" s="94"/>
      <c r="M85" s="94"/>
      <c r="N85" s="94"/>
      <c r="O85" s="94"/>
      <c r="P85" s="94"/>
      <c r="Q85" s="94"/>
      <c r="R85" s="94"/>
      <c r="S85" s="94"/>
      <c r="T85" s="94"/>
      <c r="U85" s="94"/>
      <c r="V85" s="94"/>
      <c r="W85" s="94"/>
      <c r="X85" s="94"/>
      <c r="Y85" s="94"/>
      <c r="Z85" s="94"/>
      <c r="AA85" s="94"/>
      <c r="AB85" s="94"/>
      <c r="AC85" s="94"/>
    </row>
    <row r="86" spans="2:29" x14ac:dyDescent="0.3">
      <c r="B86" s="94"/>
      <c r="C86" s="94"/>
      <c r="D86" s="94"/>
      <c r="E86" s="94"/>
      <c r="F86" s="94"/>
      <c r="G86" s="94"/>
      <c r="H86" s="94"/>
      <c r="I86" s="94"/>
      <c r="J86" s="94"/>
      <c r="K86" s="94"/>
      <c r="L86" s="94"/>
      <c r="M86" s="94"/>
      <c r="N86" s="94"/>
      <c r="O86" s="94"/>
      <c r="P86" s="94"/>
      <c r="Q86" s="94"/>
      <c r="R86" s="94"/>
      <c r="S86" s="94"/>
      <c r="T86" s="94"/>
      <c r="U86" s="94"/>
      <c r="V86" s="94"/>
      <c r="W86" s="94"/>
      <c r="X86" s="94"/>
      <c r="Y86" s="94"/>
      <c r="Z86" s="94"/>
      <c r="AA86" s="94"/>
      <c r="AB86" s="94"/>
      <c r="AC86" s="94"/>
    </row>
    <row r="87" spans="2:29" x14ac:dyDescent="0.3">
      <c r="B87" s="94"/>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row>
    <row r="88" spans="2:29" x14ac:dyDescent="0.3">
      <c r="B88" s="94"/>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row>
    <row r="89" spans="2:29" x14ac:dyDescent="0.3">
      <c r="B89" s="94"/>
      <c r="C89" s="94"/>
      <c r="D89" s="94"/>
      <c r="E89" s="94"/>
      <c r="F89" s="94"/>
      <c r="G89" s="94"/>
      <c r="H89" s="94"/>
      <c r="I89" s="94"/>
      <c r="J89" s="94"/>
      <c r="K89" s="94"/>
      <c r="L89" s="94"/>
      <c r="M89" s="94"/>
      <c r="N89" s="94"/>
      <c r="O89" s="94"/>
      <c r="P89" s="94"/>
      <c r="Q89" s="94"/>
      <c r="R89" s="94"/>
      <c r="S89" s="94"/>
      <c r="T89" s="94"/>
      <c r="U89" s="94"/>
      <c r="V89" s="94"/>
      <c r="W89" s="94"/>
      <c r="X89" s="94"/>
      <c r="Y89" s="94"/>
      <c r="Z89" s="94"/>
      <c r="AA89" s="94"/>
      <c r="AB89" s="94"/>
      <c r="AC89" s="94"/>
    </row>
    <row r="90" spans="2:29" x14ac:dyDescent="0.3">
      <c r="B90" s="94"/>
      <c r="C90" s="94"/>
      <c r="D90" s="94"/>
      <c r="E90" s="94"/>
      <c r="F90" s="94"/>
      <c r="G90" s="94"/>
      <c r="H90" s="94"/>
      <c r="I90" s="94"/>
      <c r="J90" s="94"/>
      <c r="K90" s="94"/>
      <c r="L90" s="94"/>
      <c r="M90" s="94"/>
      <c r="N90" s="94"/>
      <c r="O90" s="94"/>
      <c r="P90" s="94"/>
      <c r="Q90" s="94"/>
      <c r="R90" s="94"/>
      <c r="S90" s="94"/>
      <c r="T90" s="94"/>
      <c r="U90" s="94"/>
      <c r="V90" s="94"/>
      <c r="W90" s="94"/>
      <c r="X90" s="94"/>
      <c r="Y90" s="94"/>
      <c r="Z90" s="94"/>
      <c r="AA90" s="94"/>
      <c r="AB90" s="94"/>
      <c r="AC90" s="94"/>
    </row>
    <row r="91" spans="2:29" x14ac:dyDescent="0.3">
      <c r="B91" s="94"/>
      <c r="C91" s="94"/>
      <c r="D91" s="94"/>
      <c r="E91" s="94"/>
      <c r="F91" s="94"/>
      <c r="G91" s="94"/>
      <c r="H91" s="94"/>
      <c r="I91" s="94"/>
      <c r="J91" s="94"/>
      <c r="K91" s="94"/>
      <c r="L91" s="94"/>
      <c r="M91" s="94"/>
      <c r="N91" s="94"/>
      <c r="O91" s="94"/>
      <c r="P91" s="94"/>
      <c r="Q91" s="94"/>
      <c r="R91" s="94"/>
      <c r="S91" s="94"/>
      <c r="T91" s="94"/>
      <c r="U91" s="94"/>
      <c r="V91" s="94"/>
      <c r="W91" s="94"/>
      <c r="X91" s="94"/>
      <c r="Y91" s="94"/>
      <c r="Z91" s="94"/>
      <c r="AA91" s="94"/>
      <c r="AB91" s="94"/>
      <c r="AC91" s="94"/>
    </row>
    <row r="92" spans="2:29" x14ac:dyDescent="0.3">
      <c r="B92" s="94"/>
      <c r="C92" s="94"/>
      <c r="D92" s="94"/>
      <c r="E92" s="94"/>
      <c r="F92" s="94"/>
      <c r="G92" s="94"/>
      <c r="H92" s="94"/>
      <c r="I92" s="94"/>
      <c r="J92" s="94"/>
      <c r="K92" s="94"/>
      <c r="L92" s="94"/>
      <c r="M92" s="94"/>
      <c r="N92" s="94"/>
      <c r="O92" s="94"/>
      <c r="P92" s="94"/>
      <c r="Q92" s="94"/>
      <c r="R92" s="94"/>
      <c r="S92" s="94"/>
      <c r="T92" s="94"/>
      <c r="U92" s="94"/>
      <c r="V92" s="94"/>
      <c r="W92" s="94"/>
      <c r="X92" s="94"/>
      <c r="Y92" s="94"/>
      <c r="Z92" s="94"/>
      <c r="AA92" s="94"/>
      <c r="AB92" s="94"/>
      <c r="AC92" s="94"/>
    </row>
    <row r="93" spans="2:29" x14ac:dyDescent="0.3">
      <c r="B93" s="94"/>
      <c r="C93" s="94"/>
      <c r="D93" s="94"/>
      <c r="E93" s="94"/>
      <c r="F93" s="94"/>
      <c r="G93" s="94"/>
      <c r="H93" s="94"/>
      <c r="I93" s="94"/>
      <c r="J93" s="94"/>
      <c r="K93" s="94"/>
      <c r="L93" s="94"/>
      <c r="M93" s="94"/>
      <c r="N93" s="94"/>
      <c r="O93" s="94"/>
      <c r="P93" s="94"/>
      <c r="Q93" s="94"/>
      <c r="R93" s="94"/>
      <c r="S93" s="94"/>
      <c r="T93" s="94"/>
      <c r="U93" s="94"/>
      <c r="V93" s="94"/>
      <c r="W93" s="94"/>
      <c r="X93" s="94"/>
      <c r="Y93" s="94"/>
      <c r="Z93" s="94"/>
      <c r="AA93" s="94"/>
      <c r="AB93" s="94"/>
      <c r="AC93" s="94"/>
    </row>
    <row r="94" spans="2:29" x14ac:dyDescent="0.3">
      <c r="B94" s="94"/>
      <c r="C94" s="94"/>
      <c r="D94" s="94"/>
      <c r="E94" s="94"/>
      <c r="F94" s="94"/>
      <c r="G94" s="94"/>
      <c r="H94" s="94"/>
      <c r="I94" s="94"/>
      <c r="J94" s="94"/>
      <c r="K94" s="94"/>
      <c r="L94" s="94"/>
      <c r="M94" s="94"/>
      <c r="N94" s="94"/>
      <c r="O94" s="94"/>
      <c r="P94" s="94"/>
      <c r="Q94" s="94"/>
      <c r="R94" s="94"/>
      <c r="S94" s="94"/>
      <c r="T94" s="94"/>
      <c r="U94" s="94"/>
      <c r="V94" s="94"/>
      <c r="W94" s="94"/>
      <c r="X94" s="94"/>
      <c r="Y94" s="94"/>
      <c r="Z94" s="94"/>
      <c r="AA94" s="94"/>
      <c r="AB94" s="94"/>
      <c r="AC94" s="94"/>
    </row>
    <row r="95" spans="2:29" x14ac:dyDescent="0.3">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row>
    <row r="96" spans="2:29" x14ac:dyDescent="0.3">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row>
    <row r="97" spans="2:29" x14ac:dyDescent="0.3">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row>
    <row r="98" spans="2:29" x14ac:dyDescent="0.3">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row>
    <row r="99" spans="2:29" x14ac:dyDescent="0.3">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row>
    <row r="100" spans="2:29" x14ac:dyDescent="0.3">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row>
    <row r="101" spans="2:29" x14ac:dyDescent="0.3">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row>
    <row r="102" spans="2:29" x14ac:dyDescent="0.3">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row>
    <row r="103" spans="2:29" x14ac:dyDescent="0.3">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row>
    <row r="104" spans="2:29" x14ac:dyDescent="0.3">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row>
    <row r="105" spans="2:29" x14ac:dyDescent="0.3">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row>
    <row r="106" spans="2:29" x14ac:dyDescent="0.3">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row>
    <row r="107" spans="2:29" x14ac:dyDescent="0.3">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row>
    <row r="108" spans="2:29" x14ac:dyDescent="0.3">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row>
    <row r="109" spans="2:29" x14ac:dyDescent="0.3">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row>
    <row r="110" spans="2:29" x14ac:dyDescent="0.3">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row>
    <row r="111" spans="2:29" x14ac:dyDescent="0.3">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row>
    <row r="112" spans="2:29" x14ac:dyDescent="0.3">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row>
    <row r="113" spans="2:29" x14ac:dyDescent="0.3">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row>
    <row r="114" spans="2:29" x14ac:dyDescent="0.3">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row>
    <row r="115" spans="2:29" x14ac:dyDescent="0.3">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row>
    <row r="116" spans="2:29" x14ac:dyDescent="0.3">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row>
    <row r="117" spans="2:29" x14ac:dyDescent="0.3">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row>
    <row r="118" spans="2:29" x14ac:dyDescent="0.3">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row>
    <row r="119" spans="2:29" x14ac:dyDescent="0.3">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row>
    <row r="120" spans="2:29" x14ac:dyDescent="0.3">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row>
    <row r="121" spans="2:29" x14ac:dyDescent="0.3">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row>
    <row r="122" spans="2:29" x14ac:dyDescent="0.3">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row>
    <row r="123" spans="2:29" x14ac:dyDescent="0.3">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row>
    <row r="124" spans="2:29" x14ac:dyDescent="0.3">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row>
    <row r="125" spans="2:29" x14ac:dyDescent="0.3">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row>
    <row r="126" spans="2:29" x14ac:dyDescent="0.3">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row>
    <row r="127" spans="2:29" x14ac:dyDescent="0.3">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row>
    <row r="128" spans="2:29" x14ac:dyDescent="0.3">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c r="AA128" s="94"/>
      <c r="AB128" s="94"/>
      <c r="AC128" s="94"/>
    </row>
    <row r="129" spans="2:29" x14ac:dyDescent="0.3">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row>
    <row r="130" spans="2:29" x14ac:dyDescent="0.3">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row>
    <row r="131" spans="2:29" x14ac:dyDescent="0.3">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row>
    <row r="132" spans="2:29" x14ac:dyDescent="0.3">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row>
    <row r="133" spans="2:29" x14ac:dyDescent="0.3">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c r="AA133" s="94"/>
      <c r="AB133" s="94"/>
      <c r="AC133" s="94"/>
    </row>
    <row r="134" spans="2:29" x14ac:dyDescent="0.3">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c r="AA134" s="94"/>
      <c r="AB134" s="94"/>
      <c r="AC134" s="94"/>
    </row>
    <row r="135" spans="2:29" x14ac:dyDescent="0.3">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row>
    <row r="136" spans="2:29" x14ac:dyDescent="0.3">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row>
    <row r="137" spans="2:29" x14ac:dyDescent="0.3">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row>
    <row r="138" spans="2:29" x14ac:dyDescent="0.3">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row>
    <row r="139" spans="2:29" x14ac:dyDescent="0.3">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row>
    <row r="140" spans="2:29" x14ac:dyDescent="0.3">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row>
    <row r="141" spans="2:29" x14ac:dyDescent="0.3">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AF68-D9A4-4E92-A869-366662DA56CF}">
  <dimension ref="R22:T33"/>
  <sheetViews>
    <sheetView workbookViewId="0"/>
  </sheetViews>
  <sheetFormatPr defaultRowHeight="14.4" x14ac:dyDescent="0.3"/>
  <cols>
    <col min="18" max="18" width="10.88671875" bestFit="1" customWidth="1"/>
    <col min="19" max="19" width="9.88671875" bestFit="1" customWidth="1"/>
  </cols>
  <sheetData>
    <row r="22" spans="18:20" x14ac:dyDescent="0.3">
      <c r="R22" t="s">
        <v>141</v>
      </c>
      <c r="S22" t="s">
        <v>169</v>
      </c>
    </row>
    <row r="23" spans="18:20" x14ac:dyDescent="0.3">
      <c r="R23" t="s">
        <v>167</v>
      </c>
      <c r="S23" t="s">
        <v>167</v>
      </c>
    </row>
    <row r="24" spans="18:20" x14ac:dyDescent="0.3">
      <c r="R24" t="s">
        <v>168</v>
      </c>
      <c r="S24" t="s">
        <v>168</v>
      </c>
    </row>
    <row r="25" spans="18:20" x14ac:dyDescent="0.3">
      <c r="R25" t="s">
        <v>146</v>
      </c>
      <c r="S25" t="s">
        <v>146</v>
      </c>
    </row>
    <row r="28" spans="18:20" x14ac:dyDescent="0.3">
      <c r="R28" s="2">
        <f>(208928/7)*3</f>
        <v>89540.57142857142</v>
      </c>
      <c r="S28" s="2">
        <f>208928/7*4</f>
        <v>119387.42857142857</v>
      </c>
      <c r="T28" t="s">
        <v>172</v>
      </c>
    </row>
    <row r="29" spans="18:20" x14ac:dyDescent="0.3">
      <c r="R29" s="370">
        <f>423821-R28</f>
        <v>334280.42857142858</v>
      </c>
      <c r="S29" s="370">
        <f>423821-S28</f>
        <v>304433.57142857142</v>
      </c>
      <c r="T29" t="s">
        <v>171</v>
      </c>
    </row>
    <row r="30" spans="18:20" ht="15" thickBot="1" x14ac:dyDescent="0.35">
      <c r="R30" s="369">
        <f>R29+R28</f>
        <v>423821</v>
      </c>
      <c r="S30" s="369">
        <f>S29+S28</f>
        <v>423821</v>
      </c>
    </row>
    <row r="31" spans="18:20" x14ac:dyDescent="0.3">
      <c r="R31" s="371">
        <v>0.75</v>
      </c>
      <c r="S31" s="371">
        <v>0.75</v>
      </c>
    </row>
    <row r="32" spans="18:20" x14ac:dyDescent="0.3">
      <c r="R32" s="2">
        <f>(269576-22739)*0.75</f>
        <v>185127.75</v>
      </c>
      <c r="T32" t="s">
        <v>170</v>
      </c>
    </row>
    <row r="33" spans="18:20" x14ac:dyDescent="0.3">
      <c r="R33" s="99">
        <f>R28/12</f>
        <v>7461.7142857142853</v>
      </c>
      <c r="S33" s="99">
        <f>S28/12</f>
        <v>9948.9523809523798</v>
      </c>
      <c r="T33" t="s">
        <v>173</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66D72-C628-416E-98C8-148B11569B58}">
  <sheetPr>
    <tabColor rgb="FFFF0000"/>
  </sheetPr>
  <dimension ref="A1:I29"/>
  <sheetViews>
    <sheetView workbookViewId="0"/>
  </sheetViews>
  <sheetFormatPr defaultRowHeight="14.4" x14ac:dyDescent="0.3"/>
  <cols>
    <col min="1" max="1" width="5.5546875" customWidth="1"/>
    <col min="2" max="2" width="31" customWidth="1"/>
    <col min="3" max="3" width="54.5546875" bestFit="1" customWidth="1"/>
    <col min="4" max="4" width="20" customWidth="1"/>
    <col min="5" max="5" width="15.44140625" customWidth="1"/>
    <col min="6" max="6" width="19.44140625" customWidth="1"/>
    <col min="7" max="7" width="9.88671875" customWidth="1"/>
    <col min="8" max="9" width="17.44140625" customWidth="1"/>
  </cols>
  <sheetData>
    <row r="1" spans="1:9" ht="15.6" x14ac:dyDescent="0.3">
      <c r="B1" s="1394" t="s">
        <v>145</v>
      </c>
      <c r="C1" s="1395"/>
      <c r="D1" s="1395"/>
      <c r="E1" s="1396"/>
      <c r="F1" s="1396"/>
      <c r="G1" s="1396"/>
      <c r="H1" s="1396"/>
      <c r="I1" s="1397"/>
    </row>
    <row r="2" spans="1:9" ht="15" thickBot="1" x14ac:dyDescent="0.35">
      <c r="B2" s="1398" t="s">
        <v>116</v>
      </c>
      <c r="C2" s="1399"/>
      <c r="D2" s="1399"/>
      <c r="E2" s="1399"/>
      <c r="F2" s="1399"/>
      <c r="G2" s="1399"/>
      <c r="H2" s="1399"/>
      <c r="I2" s="1400"/>
    </row>
    <row r="3" spans="1:9" ht="15" thickTop="1" x14ac:dyDescent="0.3">
      <c r="B3" s="1401"/>
      <c r="C3" s="1402"/>
      <c r="D3" s="1402"/>
      <c r="E3" s="1402"/>
      <c r="F3" s="1402"/>
      <c r="G3" s="1402"/>
      <c r="H3" s="1402"/>
      <c r="I3" s="1388"/>
    </row>
    <row r="4" spans="1:9" ht="18" x14ac:dyDescent="0.3">
      <c r="B4" s="1403" t="s">
        <v>117</v>
      </c>
      <c r="C4" s="1402"/>
      <c r="D4" s="1402"/>
      <c r="E4" s="1402"/>
      <c r="F4" s="1402"/>
      <c r="G4" s="1402"/>
      <c r="H4" s="1402"/>
      <c r="I4" s="1388"/>
    </row>
    <row r="5" spans="1:9" ht="15.6" x14ac:dyDescent="0.3">
      <c r="B5" s="1386" t="s">
        <v>118</v>
      </c>
      <c r="C5" s="1387"/>
      <c r="D5" s="1387"/>
      <c r="E5" s="1387"/>
      <c r="F5" s="1387"/>
      <c r="G5" s="1387"/>
      <c r="H5" s="1387"/>
      <c r="I5" s="1388"/>
    </row>
    <row r="6" spans="1:9" x14ac:dyDescent="0.3">
      <c r="B6" s="1386" t="s">
        <v>143</v>
      </c>
      <c r="C6" s="1393"/>
      <c r="D6" s="1393"/>
      <c r="E6" s="1393"/>
      <c r="F6" s="1393"/>
      <c r="G6" s="1393"/>
      <c r="H6" s="1393"/>
      <c r="I6" s="1388"/>
    </row>
    <row r="7" spans="1:9" ht="15.6" x14ac:dyDescent="0.3">
      <c r="B7" s="1386" t="s">
        <v>144</v>
      </c>
      <c r="C7" s="1387"/>
      <c r="D7" s="1387"/>
      <c r="E7" s="1387"/>
      <c r="F7" s="1387"/>
      <c r="G7" s="1387"/>
      <c r="H7" s="1387"/>
      <c r="I7" s="1388"/>
    </row>
    <row r="8" spans="1:9" x14ac:dyDescent="0.3">
      <c r="B8" s="1389" t="s">
        <v>119</v>
      </c>
      <c r="C8" s="1390"/>
      <c r="D8" s="1390"/>
      <c r="E8" s="1390"/>
      <c r="F8" s="1390"/>
      <c r="G8" s="1390"/>
      <c r="H8" s="1390"/>
      <c r="I8" s="1388"/>
    </row>
    <row r="9" spans="1:9" ht="15.6" x14ac:dyDescent="0.3">
      <c r="B9" s="1386" t="s">
        <v>120</v>
      </c>
      <c r="C9" s="1387"/>
      <c r="D9" s="1387"/>
      <c r="E9" s="1387"/>
      <c r="F9" s="1387"/>
      <c r="G9" s="1387"/>
      <c r="H9" s="1387"/>
      <c r="I9" s="1388"/>
    </row>
    <row r="10" spans="1:9" ht="15.6" x14ac:dyDescent="0.3">
      <c r="B10" s="1391" t="s">
        <v>121</v>
      </c>
      <c r="C10" s="1392"/>
      <c r="D10" s="1392"/>
      <c r="E10" s="1392"/>
      <c r="F10" s="1392"/>
      <c r="G10" s="1392"/>
      <c r="H10" s="1392"/>
      <c r="I10" s="1388"/>
    </row>
    <row r="11" spans="1:9" ht="15.6" x14ac:dyDescent="0.3">
      <c r="B11" s="1386" t="s">
        <v>122</v>
      </c>
      <c r="C11" s="1387"/>
      <c r="D11" s="1387"/>
      <c r="E11" s="1387"/>
      <c r="F11" s="1387"/>
      <c r="G11" s="1387"/>
      <c r="H11" s="1387"/>
      <c r="I11" s="1388"/>
    </row>
    <row r="12" spans="1:9" ht="15.6" x14ac:dyDescent="0.3">
      <c r="B12" s="282"/>
      <c r="C12" s="283"/>
      <c r="D12" s="284"/>
      <c r="E12" s="284"/>
      <c r="F12" s="284"/>
      <c r="G12" s="284"/>
      <c r="H12" s="284"/>
      <c r="I12" s="285"/>
    </row>
    <row r="13" spans="1:9" ht="51" x14ac:dyDescent="0.3">
      <c r="B13" s="286" t="s">
        <v>123</v>
      </c>
      <c r="C13" s="286" t="s">
        <v>124</v>
      </c>
      <c r="D13" s="287" t="s">
        <v>125</v>
      </c>
      <c r="E13" s="287" t="s">
        <v>126</v>
      </c>
      <c r="F13" s="287" t="s">
        <v>127</v>
      </c>
      <c r="G13" s="287" t="s">
        <v>128</v>
      </c>
      <c r="H13" s="287" t="s">
        <v>129</v>
      </c>
      <c r="I13" s="287" t="s">
        <v>130</v>
      </c>
    </row>
    <row r="14" spans="1:9" x14ac:dyDescent="0.3">
      <c r="A14" s="288" t="s">
        <v>131</v>
      </c>
      <c r="B14" s="289" t="s">
        <v>132</v>
      </c>
      <c r="C14" s="290" t="s">
        <v>133</v>
      </c>
      <c r="D14" s="291">
        <v>20</v>
      </c>
      <c r="E14" s="292">
        <v>2891532</v>
      </c>
      <c r="F14" s="293">
        <v>0.34623809281238854</v>
      </c>
      <c r="G14" s="294">
        <v>0.75</v>
      </c>
      <c r="H14" s="295">
        <v>750868.89373949356</v>
      </c>
      <c r="I14" s="295">
        <v>825955.78311344294</v>
      </c>
    </row>
    <row r="15" spans="1:9" x14ac:dyDescent="0.3">
      <c r="A15" s="288" t="s">
        <v>131</v>
      </c>
      <c r="B15" s="289" t="s">
        <v>132</v>
      </c>
      <c r="C15" s="290" t="s">
        <v>134</v>
      </c>
      <c r="D15" s="291">
        <v>29</v>
      </c>
      <c r="E15" s="292">
        <v>2891532</v>
      </c>
      <c r="F15" s="293">
        <v>0.6537619071876114</v>
      </c>
      <c r="G15" s="294">
        <v>0.75</v>
      </c>
      <c r="H15" s="295">
        <v>1417780.1062605062</v>
      </c>
      <c r="I15" s="295">
        <v>1559558.1168865568</v>
      </c>
    </row>
    <row r="16" spans="1:9" x14ac:dyDescent="0.3">
      <c r="A16" s="296" t="s">
        <v>135</v>
      </c>
      <c r="B16" s="297" t="s">
        <v>132</v>
      </c>
      <c r="C16" s="298" t="s">
        <v>133</v>
      </c>
      <c r="D16" s="299">
        <v>21</v>
      </c>
      <c r="E16" s="300">
        <v>2944091</v>
      </c>
      <c r="F16" s="301">
        <v>0.39535193004621472</v>
      </c>
      <c r="G16" s="302">
        <v>0.75</v>
      </c>
      <c r="H16" s="303">
        <v>872964.04431126779</v>
      </c>
      <c r="I16" s="303">
        <v>960260.44874239457</v>
      </c>
    </row>
    <row r="17" spans="1:9" x14ac:dyDescent="0.3">
      <c r="A17" s="296" t="s">
        <v>135</v>
      </c>
      <c r="B17" s="297" t="s">
        <v>132</v>
      </c>
      <c r="C17" s="298" t="s">
        <v>134</v>
      </c>
      <c r="D17" s="299">
        <v>21</v>
      </c>
      <c r="E17" s="300">
        <v>2944091</v>
      </c>
      <c r="F17" s="301">
        <v>0.60464806995378528</v>
      </c>
      <c r="G17" s="302">
        <v>0.75</v>
      </c>
      <c r="H17" s="303">
        <v>1335104.2056887322</v>
      </c>
      <c r="I17" s="303">
        <v>1468614.6262576054</v>
      </c>
    </row>
    <row r="18" spans="1:9" x14ac:dyDescent="0.3">
      <c r="A18" s="279" t="s">
        <v>136</v>
      </c>
      <c r="B18" s="304" t="s">
        <v>137</v>
      </c>
      <c r="C18" s="305" t="s">
        <v>138</v>
      </c>
      <c r="D18" s="306">
        <v>21</v>
      </c>
      <c r="E18" s="307">
        <v>3057188</v>
      </c>
      <c r="F18" s="308">
        <v>0.40196643657385045</v>
      </c>
      <c r="G18" s="309">
        <v>0.75</v>
      </c>
      <c r="H18" s="310">
        <v>921665.22472225258</v>
      </c>
      <c r="I18" s="310">
        <v>1013831.7471944778</v>
      </c>
    </row>
    <row r="19" spans="1:9" x14ac:dyDescent="0.3">
      <c r="A19" s="279" t="s">
        <v>136</v>
      </c>
      <c r="B19" s="304" t="s">
        <v>137</v>
      </c>
      <c r="C19" s="305" t="s">
        <v>134</v>
      </c>
      <c r="D19" s="306">
        <v>19</v>
      </c>
      <c r="E19" s="307">
        <v>3057188</v>
      </c>
      <c r="F19" s="308">
        <v>0.59803356342614955</v>
      </c>
      <c r="G19" s="309">
        <v>0.75</v>
      </c>
      <c r="H19" s="310">
        <v>1371225.7752777475</v>
      </c>
      <c r="I19" s="310">
        <v>1508348.3528055223</v>
      </c>
    </row>
    <row r="20" spans="1:9" x14ac:dyDescent="0.3">
      <c r="A20" s="311" t="s">
        <v>139</v>
      </c>
      <c r="B20" s="312" t="s">
        <v>132</v>
      </c>
      <c r="C20" s="312" t="s">
        <v>138</v>
      </c>
      <c r="D20" s="313">
        <v>21</v>
      </c>
      <c r="E20" s="314">
        <v>2964270</v>
      </c>
      <c r="F20" s="315">
        <v>0.47846576777065059</v>
      </c>
      <c r="G20" s="316">
        <v>0.75</v>
      </c>
      <c r="H20" s="317">
        <v>1063726.2910721297</v>
      </c>
      <c r="I20" s="317">
        <v>1170098.9201793426</v>
      </c>
    </row>
    <row r="21" spans="1:9" x14ac:dyDescent="0.3">
      <c r="A21" s="311" t="s">
        <v>139</v>
      </c>
      <c r="B21" s="312" t="s">
        <v>132</v>
      </c>
      <c r="C21" s="312" t="s">
        <v>134</v>
      </c>
      <c r="D21" s="313">
        <v>15</v>
      </c>
      <c r="E21" s="314">
        <v>2964270</v>
      </c>
      <c r="F21" s="315">
        <v>0.52153423222934936</v>
      </c>
      <c r="G21" s="316">
        <v>0.75</v>
      </c>
      <c r="H21" s="317">
        <v>1159476.20892787</v>
      </c>
      <c r="I21" s="317">
        <v>1275423.8298206571</v>
      </c>
    </row>
    <row r="22" spans="1:9" x14ac:dyDescent="0.3">
      <c r="A22" s="318" t="s">
        <v>140</v>
      </c>
      <c r="B22" s="319" t="s">
        <v>137</v>
      </c>
      <c r="C22" s="319" t="s">
        <v>138</v>
      </c>
      <c r="D22" s="320">
        <v>21</v>
      </c>
      <c r="E22" s="321">
        <v>3805886</v>
      </c>
      <c r="F22" s="322">
        <v>0.47846576777065059</v>
      </c>
      <c r="G22" s="323">
        <v>0.75</v>
      </c>
      <c r="H22" s="324">
        <v>1365739.6252781777</v>
      </c>
      <c r="I22" s="324">
        <v>1502313.5878059955</v>
      </c>
    </row>
    <row r="23" spans="1:9" x14ac:dyDescent="0.3">
      <c r="A23" s="318" t="s">
        <v>140</v>
      </c>
      <c r="B23" s="319" t="s">
        <v>137</v>
      </c>
      <c r="C23" s="319" t="s">
        <v>134</v>
      </c>
      <c r="D23" s="320">
        <v>15</v>
      </c>
      <c r="E23" s="321">
        <v>3805886</v>
      </c>
      <c r="F23" s="322">
        <v>0.52153423222934936</v>
      </c>
      <c r="G23" s="323">
        <v>0.75</v>
      </c>
      <c r="H23" s="324">
        <v>1488674.8747218221</v>
      </c>
      <c r="I23" s="324">
        <v>1637542.3621940042</v>
      </c>
    </row>
    <row r="24" spans="1:9" x14ac:dyDescent="0.3">
      <c r="A24" s="325" t="s">
        <v>24</v>
      </c>
      <c r="B24" s="326" t="s">
        <v>132</v>
      </c>
      <c r="C24" s="326" t="s">
        <v>138</v>
      </c>
      <c r="D24" s="327">
        <v>21</v>
      </c>
      <c r="E24" s="328">
        <v>3845305</v>
      </c>
      <c r="F24" s="329">
        <v>0.47846576777065059</v>
      </c>
      <c r="G24" s="330">
        <v>0.75</v>
      </c>
      <c r="H24" s="331">
        <v>1379885.1068529913</v>
      </c>
      <c r="I24" s="331">
        <v>1517873.6175382903</v>
      </c>
    </row>
    <row r="25" spans="1:9" ht="15" thickBot="1" x14ac:dyDescent="0.35">
      <c r="A25" s="325" t="s">
        <v>24</v>
      </c>
      <c r="B25" s="326" t="s">
        <v>132</v>
      </c>
      <c r="C25" s="332" t="s">
        <v>134</v>
      </c>
      <c r="D25" s="333">
        <v>15</v>
      </c>
      <c r="E25" s="334">
        <v>3845305</v>
      </c>
      <c r="F25" s="335">
        <v>0.52153423222934936</v>
      </c>
      <c r="G25" s="336">
        <v>0.75</v>
      </c>
      <c r="H25" s="337">
        <v>1504093.6431470087</v>
      </c>
      <c r="I25" s="337">
        <v>1654503.0074617097</v>
      </c>
    </row>
    <row r="26" spans="1:9" x14ac:dyDescent="0.3">
      <c r="A26" s="338" t="s">
        <v>28</v>
      </c>
      <c r="B26" s="339" t="s">
        <v>132</v>
      </c>
      <c r="C26" s="340" t="s">
        <v>138</v>
      </c>
      <c r="D26" s="341">
        <v>21</v>
      </c>
      <c r="E26" s="342">
        <v>3902214</v>
      </c>
      <c r="F26" s="343">
        <f>D26/(D26+D27)</f>
        <v>0.53846153846153844</v>
      </c>
      <c r="G26" s="344">
        <v>0.75</v>
      </c>
      <c r="H26" s="345">
        <f>E26*F26</f>
        <v>2101192.1538461535</v>
      </c>
      <c r="I26" s="346">
        <v>2205277</v>
      </c>
    </row>
    <row r="27" spans="1:9" ht="15" thickBot="1" x14ac:dyDescent="0.35">
      <c r="A27" s="338" t="s">
        <v>28</v>
      </c>
      <c r="B27" s="339" t="s">
        <v>132</v>
      </c>
      <c r="C27" s="347" t="s">
        <v>134</v>
      </c>
      <c r="D27" s="348">
        <v>18</v>
      </c>
      <c r="E27" s="349">
        <v>3902214</v>
      </c>
      <c r="F27" s="350">
        <f>D27/(D26+D27)</f>
        <v>0.46153846153846156</v>
      </c>
      <c r="G27" s="351">
        <v>0.75</v>
      </c>
      <c r="H27" s="352">
        <f>E27*F27</f>
        <v>1801021.8461538462</v>
      </c>
      <c r="I27" s="353">
        <v>1014049</v>
      </c>
    </row>
    <row r="28" spans="1:9" ht="15" thickBot="1" x14ac:dyDescent="0.35">
      <c r="A28" t="s">
        <v>141</v>
      </c>
      <c r="B28" s="339" t="s">
        <v>132</v>
      </c>
      <c r="C28" s="354" t="s">
        <v>134</v>
      </c>
      <c r="D28" s="355">
        <v>4</v>
      </c>
      <c r="E28" s="356">
        <v>2682000</v>
      </c>
      <c r="F28" s="357">
        <f>D28/(D27+D28)</f>
        <v>0.18181818181818182</v>
      </c>
      <c r="G28" s="358">
        <v>0.75</v>
      </c>
      <c r="H28" s="359">
        <f>E28*F28</f>
        <v>487636.36363636365</v>
      </c>
      <c r="I28" s="360"/>
    </row>
    <row r="29" spans="1:9" ht="15" thickBot="1" x14ac:dyDescent="0.35">
      <c r="A29" t="s">
        <v>141</v>
      </c>
      <c r="B29" s="339" t="s">
        <v>132</v>
      </c>
      <c r="C29" s="354" t="s">
        <v>142</v>
      </c>
      <c r="D29" s="355">
        <v>14</v>
      </c>
      <c r="E29" s="356">
        <v>2682000</v>
      </c>
      <c r="F29" s="357">
        <f>D29/(D28+D29)</f>
        <v>0.77777777777777779</v>
      </c>
      <c r="G29" s="358">
        <v>0.75</v>
      </c>
      <c r="H29" s="359">
        <f>E29*F29</f>
        <v>2086000</v>
      </c>
      <c r="I29" s="360"/>
    </row>
  </sheetData>
  <mergeCells count="11">
    <mergeCell ref="B6:I6"/>
    <mergeCell ref="B1:I1"/>
    <mergeCell ref="B2:I2"/>
    <mergeCell ref="B3:I3"/>
    <mergeCell ref="B4:I4"/>
    <mergeCell ref="B5:I5"/>
    <mergeCell ref="B7:I7"/>
    <mergeCell ref="B8:I8"/>
    <mergeCell ref="B9:I9"/>
    <mergeCell ref="B10:I10"/>
    <mergeCell ref="B11:I1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E58FC-9C72-4205-BD4B-2311FFDECCCB}">
  <dimension ref="B2:C10"/>
  <sheetViews>
    <sheetView workbookViewId="0"/>
  </sheetViews>
  <sheetFormatPr defaultRowHeight="14.4" x14ac:dyDescent="0.3"/>
  <cols>
    <col min="2" max="2" width="11.5546875" customWidth="1"/>
  </cols>
  <sheetData>
    <row r="2" spans="2:3" x14ac:dyDescent="0.3">
      <c r="B2" s="116" t="s">
        <v>204</v>
      </c>
    </row>
    <row r="3" spans="2:3" x14ac:dyDescent="0.3">
      <c r="B3" t="s">
        <v>203</v>
      </c>
      <c r="C3">
        <v>7</v>
      </c>
    </row>
    <row r="4" spans="2:3" x14ac:dyDescent="0.3">
      <c r="B4" t="s">
        <v>201</v>
      </c>
      <c r="C4">
        <v>7</v>
      </c>
    </row>
    <row r="5" spans="2:3" x14ac:dyDescent="0.3">
      <c r="B5" t="s">
        <v>194</v>
      </c>
      <c r="C5">
        <v>20</v>
      </c>
    </row>
    <row r="6" spans="2:3" x14ac:dyDescent="0.3">
      <c r="B6" t="s">
        <v>202</v>
      </c>
      <c r="C6">
        <v>7</v>
      </c>
    </row>
    <row r="8" spans="2:3" x14ac:dyDescent="0.3">
      <c r="B8" s="116" t="s">
        <v>205</v>
      </c>
    </row>
    <row r="9" spans="2:3" x14ac:dyDescent="0.3">
      <c r="B9" t="s">
        <v>206</v>
      </c>
      <c r="C9">
        <v>12.8</v>
      </c>
    </row>
    <row r="10" spans="2:3" x14ac:dyDescent="0.3">
      <c r="B10" t="s">
        <v>207</v>
      </c>
      <c r="C10">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0de07c1-9fd0-4bb7-bfb4-09fef9c10305" xsi:nil="true"/>
    <lcf76f155ced4ddcb4097134ff3c332f xmlns="0200bcd3-7895-4dda-959a-6382abce523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6AAC5CF04ACC847984487D0AE1DDB98" ma:contentTypeVersion="19" ma:contentTypeDescription="Create a new document." ma:contentTypeScope="" ma:versionID="4a134606661e1a964dc5cfe387c2252b">
  <xsd:schema xmlns:xsd="http://www.w3.org/2001/XMLSchema" xmlns:xs="http://www.w3.org/2001/XMLSchema" xmlns:p="http://schemas.microsoft.com/office/2006/metadata/properties" xmlns:ns2="0200bcd3-7895-4dda-959a-6382abce5233" xmlns:ns3="80de07c1-9fd0-4bb7-bfb4-09fef9c10305" targetNamespace="http://schemas.microsoft.com/office/2006/metadata/properties" ma:root="true" ma:fieldsID="082f40d709d6c4240cacbb3cd6e9a6d2" ns2:_="" ns3:_="">
    <xsd:import namespace="0200bcd3-7895-4dda-959a-6382abce5233"/>
    <xsd:import namespace="80de07c1-9fd0-4bb7-bfb4-09fef9c1030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00bcd3-7895-4dda-959a-6382abce5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5275bea-d2d5-48ff-9e03-e3cfe37ae2f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de07c1-9fd0-4bb7-bfb4-09fef9c1030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f89097d-6151-43ee-8e4c-c1e788623829}" ma:internalName="TaxCatchAll" ma:showField="CatchAllData" ma:web="80de07c1-9fd0-4bb7-bfb4-09fef9c103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8B9731-B545-4BFD-A84C-1D49A217FD93}">
  <ds:schemaRefs>
    <ds:schemaRef ds:uri="http://schemas.microsoft.com/sharepoint/v3/contenttype/forms"/>
  </ds:schemaRefs>
</ds:datastoreItem>
</file>

<file path=customXml/itemProps2.xml><?xml version="1.0" encoding="utf-8"?>
<ds:datastoreItem xmlns:ds="http://schemas.openxmlformats.org/officeDocument/2006/customXml" ds:itemID="{9151DF6A-A1BF-4C89-A472-5C8A973D369C}">
  <ds:schemaRefs>
    <ds:schemaRef ds:uri="http://www.w3.org/XML/1998/namespace"/>
    <ds:schemaRef ds:uri="http://schemas.microsoft.com/office/2006/metadata/properties"/>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8f875027-bef7-49ae-98d3-357464b05f40"/>
    <ds:schemaRef ds:uri="http://purl.org/dc/dcmitype/"/>
    <ds:schemaRef ds:uri="80de07c1-9fd0-4bb7-bfb4-09fef9c10305"/>
    <ds:schemaRef ds:uri="0200bcd3-7895-4dda-959a-6382abce5233"/>
  </ds:schemaRefs>
</ds:datastoreItem>
</file>

<file path=customXml/itemProps3.xml><?xml version="1.0" encoding="utf-8"?>
<ds:datastoreItem xmlns:ds="http://schemas.openxmlformats.org/officeDocument/2006/customXml" ds:itemID="{B46C809D-9FE9-46F8-9EEB-5947363411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00bcd3-7895-4dda-959a-6382abce5233"/>
    <ds:schemaRef ds:uri="80de07c1-9fd0-4bb7-bfb4-09fef9c103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3</vt:i4>
      </vt:variant>
    </vt:vector>
  </HeadingPairs>
  <TitlesOfParts>
    <vt:vector size="28" baseType="lpstr">
      <vt:lpstr>For Slides</vt:lpstr>
      <vt:lpstr>Financial Plan OUTPUTS&gt;&gt;&gt;</vt:lpstr>
      <vt:lpstr>T1 Summary Table</vt:lpstr>
      <vt:lpstr>Questions</vt:lpstr>
      <vt:lpstr>T2-4 A1 TTD LL Costs</vt:lpstr>
      <vt:lpstr>T5-7 TART TNTTMA FinancialPlan</vt:lpstr>
      <vt:lpstr>t 8-10 Capital Plan</vt:lpstr>
      <vt:lpstr>INPUTS&gt;&gt;&gt;</vt:lpstr>
      <vt:lpstr>VRH Rates</vt:lpstr>
      <vt:lpstr>Fare Rates</vt:lpstr>
      <vt:lpstr>Operating Stats</vt:lpstr>
      <vt:lpstr>FTA Allocation Split (26-27)</vt:lpstr>
      <vt:lpstr>Actual Revenues</vt:lpstr>
      <vt:lpstr>Revenue %s</vt:lpstr>
      <vt:lpstr>Per Route Model</vt:lpstr>
      <vt:lpstr>TTD FY27 budget</vt:lpstr>
      <vt:lpstr>TART Rev</vt:lpstr>
      <vt:lpstr>TNTTMA $</vt:lpstr>
      <vt:lpstr>25_26 FTA Funding Split (INFO)</vt:lpstr>
      <vt:lpstr>Left over from Raymond Model&gt;&gt;&gt;</vt:lpstr>
      <vt:lpstr>SRTP - COMP Factors</vt:lpstr>
      <vt:lpstr>Regional COMPs</vt:lpstr>
      <vt:lpstr>TTD 2022 NTD DATA</vt:lpstr>
      <vt:lpstr>Operating Assistance</vt:lpstr>
      <vt:lpstr>Avg Pass, Mile Per Hr</vt:lpstr>
      <vt:lpstr>'For Slides'!Print_Area</vt:lpstr>
      <vt:lpstr>'T2-4 A1 TTD LL Costs'!Print_Area</vt:lpstr>
      <vt:lpstr>'T5-7 TART TNTTMA FinancialPlan'!Print_Area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Raymond Suarez</dc:creator>
  <cp:keywords/>
  <dc:description/>
  <cp:lastModifiedBy>Kira Richardson</cp:lastModifiedBy>
  <cp:revision/>
  <cp:lastPrinted>2024-11-15T16:19:11Z</cp:lastPrinted>
  <dcterms:created xsi:type="dcterms:W3CDTF">2023-01-18T22:12:54Z</dcterms:created>
  <dcterms:modified xsi:type="dcterms:W3CDTF">2026-10-19T22:41:19Z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0x010100F6AAC5CF04ACC847984487D0AE1DDB98</vt:lpwstr>
  </property>
  <property fmtid="{D5CDD505-2E9C-101B-9397-08002B2CF9AE}" pid="3" name="MediaServiceImageTags">
    <vt:lpwstr/>
  </property>
</Properties>
</file>