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Simone\Nextcloud3\trr266_b04\projects\csr_consumers (munich mensa)\co2_measurement\"/>
    </mc:Choice>
  </mc:AlternateContent>
  <xr:revisionPtr revIDLastSave="0" documentId="13_ncr:1_{76653833-F0C5-4681-A47C-8C5EFF867C4D}" xr6:coauthVersionLast="36" xr6:coauthVersionMax="36" xr10:uidLastSave="{00000000-0000-0000-0000-000000000000}"/>
  <bookViews>
    <workbookView xWindow="0" yWindow="0" windowWidth="19200" windowHeight="8250" xr2:uid="{C5BC8730-B1C8-466C-B1AA-5D3653346FBB}"/>
  </bookViews>
  <sheets>
    <sheet name="Table" sheetId="6" r:id="rId1"/>
    <sheet name="Dishes" sheetId="7" r:id="rId2"/>
    <sheet name="Berechnung" sheetId="5" r:id="rId3"/>
    <sheet name="My Emissions" sheetId="1" r:id="rId4"/>
    <sheet name="GEMIS" sheetId="4" r:id="rId5"/>
    <sheet name="Sources"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7" l="1"/>
  <c r="E2" i="7" s="1"/>
  <c r="G23" i="7"/>
  <c r="F23" i="7"/>
  <c r="G22" i="7"/>
  <c r="F22" i="7"/>
  <c r="G21" i="7"/>
  <c r="F21" i="7"/>
  <c r="D36" i="7"/>
  <c r="D37" i="7" s="1"/>
  <c r="C36" i="7"/>
  <c r="C37" i="7" s="1"/>
  <c r="G20" i="7"/>
  <c r="F20" i="7"/>
  <c r="G19" i="7"/>
  <c r="F19" i="7"/>
  <c r="G15" i="7"/>
  <c r="F15" i="7"/>
  <c r="G14" i="7"/>
  <c r="F14" i="7"/>
  <c r="G13" i="7"/>
  <c r="F13" i="7"/>
  <c r="G12" i="7"/>
  <c r="F12" i="7"/>
  <c r="G11" i="7"/>
  <c r="F11" i="7"/>
  <c r="H6" i="7"/>
  <c r="G6" i="7"/>
  <c r="F6" i="7"/>
  <c r="E6" i="7"/>
  <c r="D3" i="7"/>
  <c r="E3" i="7" s="1"/>
  <c r="G2" i="7" l="1"/>
  <c r="F2" i="7" s="1"/>
  <c r="H2" i="7"/>
  <c r="G3" i="7"/>
  <c r="F3" i="7" s="1"/>
  <c r="H3" i="7"/>
  <c r="G16" i="7"/>
  <c r="D4" i="7" s="1"/>
  <c r="G4" i="7" s="1"/>
  <c r="F16" i="7"/>
  <c r="F24" i="7"/>
  <c r="G24" i="7"/>
  <c r="D5" i="7" s="1"/>
  <c r="F5" i="7" s="1"/>
  <c r="B35" i="5"/>
  <c r="G2" i="6"/>
  <c r="G16" i="6"/>
  <c r="H4" i="7" l="1"/>
  <c r="E4" i="7"/>
  <c r="F4" i="7"/>
  <c r="H5" i="7"/>
  <c r="E5" i="7"/>
  <c r="G5" i="7"/>
  <c r="G3" i="6"/>
  <c r="G4" i="6"/>
  <c r="G5" i="6"/>
  <c r="G6" i="6"/>
  <c r="G7" i="6"/>
  <c r="G8" i="6"/>
  <c r="G9" i="6"/>
  <c r="G10" i="6"/>
  <c r="G11" i="6"/>
  <c r="G12" i="6"/>
  <c r="G13" i="6"/>
  <c r="G14" i="6"/>
  <c r="G15"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H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2" i="6"/>
  <c r="D30" i="5"/>
  <c r="D29" i="5"/>
  <c r="D28" i="5"/>
  <c r="D27" i="5"/>
  <c r="B27" i="5"/>
  <c r="C27" i="5" s="1"/>
  <c r="F3" i="6"/>
  <c r="F38" i="6"/>
  <c r="H38" i="6"/>
  <c r="H34" i="6"/>
  <c r="F34" i="6"/>
  <c r="H37" i="6"/>
  <c r="F37" i="6"/>
  <c r="H36" i="6"/>
  <c r="F36" i="6"/>
  <c r="H39" i="6"/>
  <c r="F39" i="6"/>
  <c r="H35" i="6"/>
  <c r="F35" i="6"/>
  <c r="H33" i="6"/>
  <c r="F33" i="6"/>
  <c r="H32" i="6"/>
  <c r="F32" i="6"/>
  <c r="H31" i="6"/>
  <c r="F31" i="6"/>
  <c r="H54" i="6"/>
  <c r="F54" i="6"/>
  <c r="H53" i="6"/>
  <c r="F53" i="6"/>
  <c r="H52" i="6"/>
  <c r="F52" i="6"/>
  <c r="H51" i="6"/>
  <c r="F51" i="6"/>
  <c r="H50" i="6"/>
  <c r="F50" i="6"/>
  <c r="H49" i="6"/>
  <c r="F49" i="6"/>
  <c r="H48" i="6"/>
  <c r="F48" i="6"/>
  <c r="H47" i="6"/>
  <c r="F47" i="6"/>
  <c r="H46" i="6"/>
  <c r="F46" i="6"/>
  <c r="H45" i="6"/>
  <c r="F45" i="6"/>
  <c r="H44" i="6"/>
  <c r="F44" i="6"/>
  <c r="H43" i="6"/>
  <c r="F43" i="6"/>
  <c r="H42" i="6"/>
  <c r="F42" i="6"/>
  <c r="H41" i="6"/>
  <c r="F41" i="6"/>
  <c r="H40" i="6"/>
  <c r="F40" i="6"/>
  <c r="H29" i="6"/>
  <c r="F29" i="6"/>
  <c r="H30" i="6"/>
  <c r="F30" i="6"/>
  <c r="H28" i="6"/>
  <c r="F28" i="6"/>
  <c r="H27" i="6"/>
  <c r="F27" i="6"/>
  <c r="H26" i="6"/>
  <c r="F26" i="6"/>
  <c r="H25" i="6"/>
  <c r="F25" i="6"/>
  <c r="H24" i="6"/>
  <c r="F24" i="6"/>
  <c r="H23" i="6"/>
  <c r="F23" i="6"/>
  <c r="H22" i="6"/>
  <c r="F22" i="6"/>
  <c r="H21" i="6"/>
  <c r="F21" i="6"/>
  <c r="H20" i="6"/>
  <c r="F20" i="6"/>
  <c r="H19" i="6"/>
  <c r="F19" i="6"/>
  <c r="H18" i="6"/>
  <c r="F18" i="6"/>
  <c r="H17" i="6"/>
  <c r="F17" i="6"/>
  <c r="H16" i="6"/>
  <c r="F16" i="6"/>
  <c r="H15" i="6"/>
  <c r="F15" i="6"/>
  <c r="H14" i="6"/>
  <c r="F14" i="6"/>
  <c r="H13" i="6"/>
  <c r="F13" i="6"/>
  <c r="H12" i="6"/>
  <c r="F12" i="6"/>
  <c r="H11" i="6"/>
  <c r="F11" i="6"/>
  <c r="H10" i="6"/>
  <c r="F10" i="6"/>
  <c r="H9" i="6"/>
  <c r="F9" i="6"/>
  <c r="H8" i="6"/>
  <c r="F8" i="6"/>
  <c r="H7" i="6"/>
  <c r="F7" i="6"/>
  <c r="H6" i="6"/>
  <c r="F6" i="6"/>
  <c r="H5" i="6"/>
  <c r="F5" i="6"/>
  <c r="H4" i="6"/>
  <c r="F4" i="6"/>
  <c r="H3" i="6"/>
  <c r="F2" i="6"/>
  <c r="B28" i="5" l="1"/>
  <c r="N41" i="1"/>
  <c r="N40" i="1"/>
  <c r="M41" i="1"/>
  <c r="E97" i="1"/>
  <c r="M40" i="1"/>
  <c r="L41" i="1"/>
  <c r="L40" i="1"/>
  <c r="K41" i="1"/>
  <c r="K40" i="1"/>
  <c r="E88" i="1"/>
  <c r="C88" i="1"/>
  <c r="E76" i="1"/>
  <c r="C76" i="1"/>
  <c r="E65" i="1"/>
  <c r="C65" i="1"/>
  <c r="E54" i="1"/>
  <c r="C54" i="1"/>
  <c r="E44" i="1"/>
  <c r="C44" i="1"/>
  <c r="C39" i="1"/>
  <c r="F16" i="1"/>
  <c r="F17" i="1"/>
  <c r="F18" i="1"/>
  <c r="F19" i="1"/>
  <c r="F20" i="1"/>
  <c r="F21" i="1"/>
  <c r="F22" i="1"/>
  <c r="F23" i="1"/>
  <c r="F24" i="1"/>
  <c r="F25" i="1"/>
  <c r="F26" i="1"/>
  <c r="F27" i="1"/>
  <c r="F28" i="1"/>
  <c r="F29" i="1"/>
  <c r="F30" i="1"/>
  <c r="F31" i="1"/>
  <c r="F32" i="1"/>
  <c r="F33" i="1"/>
  <c r="F34" i="1"/>
  <c r="F35" i="1"/>
  <c r="F36" i="1"/>
  <c r="F37" i="1"/>
  <c r="F38" i="1"/>
  <c r="F42" i="1"/>
  <c r="F43" i="1"/>
  <c r="F44" i="1"/>
  <c r="F47" i="1"/>
  <c r="F48" i="1"/>
  <c r="F49" i="1"/>
  <c r="F50" i="1"/>
  <c r="F51" i="1"/>
  <c r="F52" i="1"/>
  <c r="F53" i="1"/>
  <c r="F54" i="1"/>
  <c r="F57" i="1"/>
  <c r="F58" i="1"/>
  <c r="F59" i="1"/>
  <c r="F60" i="1"/>
  <c r="F61" i="1"/>
  <c r="F62" i="1"/>
  <c r="F63" i="1"/>
  <c r="F64" i="1"/>
  <c r="F65" i="1"/>
  <c r="F68" i="1"/>
  <c r="F69" i="1"/>
  <c r="F70" i="1"/>
  <c r="F71" i="1"/>
  <c r="F72" i="1"/>
  <c r="F73" i="1"/>
  <c r="F74" i="1"/>
  <c r="F75" i="1"/>
  <c r="F76" i="1"/>
  <c r="F79" i="1"/>
  <c r="F80" i="1"/>
  <c r="F81" i="1"/>
  <c r="F82" i="1"/>
  <c r="F83" i="1"/>
  <c r="F84" i="1"/>
  <c r="F85" i="1"/>
  <c r="F86" i="1"/>
  <c r="F87" i="1"/>
  <c r="F88" i="1"/>
  <c r="F91" i="1"/>
  <c r="F92" i="1"/>
  <c r="F93" i="1"/>
  <c r="F94" i="1"/>
  <c r="F95" i="1"/>
  <c r="B12" i="5"/>
  <c r="C12" i="5" s="1"/>
  <c r="B4" i="5"/>
  <c r="G16" i="1"/>
  <c r="G17" i="1"/>
  <c r="G18" i="1"/>
  <c r="G19" i="1"/>
  <c r="G20" i="1"/>
  <c r="G21" i="1"/>
  <c r="G22" i="1"/>
  <c r="G23" i="1"/>
  <c r="G24" i="1"/>
  <c r="G25" i="1"/>
  <c r="G26" i="1"/>
  <c r="G27" i="1"/>
  <c r="G28" i="1"/>
  <c r="G29" i="1"/>
  <c r="G30" i="1"/>
  <c r="G31" i="1"/>
  <c r="G32" i="1"/>
  <c r="G33" i="1"/>
  <c r="G34" i="1"/>
  <c r="G35" i="1"/>
  <c r="G36" i="1"/>
  <c r="G37" i="1"/>
  <c r="G38" i="1"/>
  <c r="G42" i="1"/>
  <c r="G43" i="1"/>
  <c r="G44" i="1"/>
  <c r="G47" i="1"/>
  <c r="G48" i="1"/>
  <c r="G49" i="1"/>
  <c r="G50" i="1"/>
  <c r="G51" i="1"/>
  <c r="G52" i="1"/>
  <c r="G53" i="1"/>
  <c r="G54" i="1"/>
  <c r="G57" i="1"/>
  <c r="G58" i="1"/>
  <c r="G59" i="1"/>
  <c r="G60" i="1"/>
  <c r="G61" i="1"/>
  <c r="G62" i="1"/>
  <c r="G63" i="1"/>
  <c r="G64" i="1"/>
  <c r="G65" i="1"/>
  <c r="G68" i="1"/>
  <c r="G69" i="1"/>
  <c r="G70" i="1"/>
  <c r="G71" i="1"/>
  <c r="G72" i="1"/>
  <c r="G73" i="1"/>
  <c r="G74" i="1"/>
  <c r="G75" i="1"/>
  <c r="G76" i="1"/>
  <c r="G79" i="1"/>
  <c r="G80" i="1"/>
  <c r="G81" i="1"/>
  <c r="G82" i="1"/>
  <c r="G83" i="1"/>
  <c r="G84" i="1"/>
  <c r="G85" i="1"/>
  <c r="G86" i="1"/>
  <c r="G87" i="1"/>
  <c r="G88" i="1"/>
  <c r="G91" i="1"/>
  <c r="G92" i="1"/>
  <c r="G93" i="1"/>
  <c r="G94" i="1"/>
  <c r="G95" i="1"/>
  <c r="G4" i="1"/>
  <c r="G5" i="1"/>
  <c r="G6" i="1"/>
  <c r="G7" i="1"/>
  <c r="G8" i="1"/>
  <c r="G9" i="1"/>
  <c r="G10" i="1"/>
  <c r="G11" i="1"/>
  <c r="G12" i="1"/>
  <c r="G3" i="1"/>
  <c r="B29" i="5" l="1"/>
  <c r="C28" i="5"/>
  <c r="P40" i="1"/>
  <c r="Q40" i="1"/>
  <c r="R40" i="1"/>
  <c r="R41" i="1"/>
  <c r="O40" i="1"/>
  <c r="Q41" i="1"/>
  <c r="F4" i="1"/>
  <c r="F5" i="1"/>
  <c r="F6" i="1"/>
  <c r="F8" i="1"/>
  <c r="F9" i="1"/>
  <c r="F10" i="1"/>
  <c r="F12" i="1"/>
  <c r="F3" i="1"/>
  <c r="F7" i="1"/>
  <c r="F11" i="1"/>
  <c r="D12" i="5"/>
  <c r="B30" i="5" l="1"/>
  <c r="C30" i="5" s="1"/>
  <c r="C29" i="5"/>
  <c r="O41" i="1"/>
  <c r="P41" i="1"/>
  <c r="E39" i="1"/>
  <c r="E13" i="1"/>
  <c r="J20" i="1" l="1"/>
  <c r="J22" i="1"/>
  <c r="J21" i="1"/>
  <c r="J15" i="1"/>
  <c r="K15" i="1" s="1"/>
  <c r="J14" i="1"/>
  <c r="J13" i="1"/>
  <c r="J8" i="1"/>
  <c r="K8" i="1" s="1"/>
  <c r="J7" i="1"/>
  <c r="J6" i="1"/>
  <c r="D88" i="1"/>
  <c r="D76" i="1"/>
  <c r="D65" i="1"/>
  <c r="D39" i="1"/>
  <c r="K14" i="1" s="1"/>
  <c r="D54" i="1"/>
  <c r="D44" i="1"/>
  <c r="D13" i="1"/>
  <c r="K7" i="1" l="1"/>
  <c r="G39" i="1"/>
  <c r="F39" i="1"/>
  <c r="K21" i="1"/>
  <c r="K20" i="1"/>
  <c r="G13" i="1"/>
  <c r="K6" i="1"/>
  <c r="K9" i="1" s="1"/>
  <c r="F13" i="1"/>
  <c r="J23" i="1"/>
  <c r="J26" i="1" s="1"/>
  <c r="K22" i="1"/>
  <c r="J16" i="1"/>
  <c r="K13" i="1"/>
  <c r="K16" i="1" s="1"/>
  <c r="J9" i="1"/>
  <c r="J25" i="1" s="1"/>
  <c r="K23" i="1" l="1"/>
  <c r="K26" i="1" s="1"/>
  <c r="K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Simone Euler</author>
  </authors>
  <commentList>
    <comment ref="C11" authorId="0" shapeId="0" xr:uid="{6C357E18-7641-4FBA-A007-83B9D25DF55F}">
      <text>
        <r>
          <rPr>
            <b/>
            <sz val="9"/>
            <color indexed="81"/>
            <rFont val="Segoe UI"/>
            <family val="2"/>
          </rPr>
          <t>Simone Euler:</t>
        </r>
        <r>
          <rPr>
            <sz val="9"/>
            <color indexed="81"/>
            <rFont val="Segoe UI"/>
            <family val="2"/>
          </rPr>
          <t xml:space="preserve">
Die Emissionen vom Betreiben einer 40 Watt Glühbirne in einer Stunde</t>
        </r>
      </text>
    </comment>
    <comment ref="D11" authorId="0" shapeId="0" xr:uid="{D7288BE4-5799-4142-84D1-A89AD5155AD4}">
      <text>
        <r>
          <rPr>
            <b/>
            <sz val="9"/>
            <color indexed="81"/>
            <rFont val="Segoe UI"/>
            <family val="2"/>
          </rPr>
          <t>Simone Euler:</t>
        </r>
        <r>
          <rPr>
            <sz val="9"/>
            <color indexed="81"/>
            <rFont val="Segoe UI"/>
            <family val="2"/>
          </rPr>
          <t xml:space="preserve">
Die Emissionen von einer Glühbirnenminute</t>
        </r>
      </text>
    </comment>
  </commentList>
</comments>
</file>

<file path=xl/sharedStrings.xml><?xml version="1.0" encoding="utf-8"?>
<sst xmlns="http://schemas.openxmlformats.org/spreadsheetml/2006/main" count="430" uniqueCount="239">
  <si>
    <t>https://myemissions.green/food-carbon-footprint-calculator/</t>
  </si>
  <si>
    <t/>
  </si>
  <si>
    <t>Anchovies</t>
  </si>
  <si>
    <t>Cod</t>
  </si>
  <si>
    <t>Fish sticks</t>
  </si>
  <si>
    <t>Halibut</t>
  </si>
  <si>
    <t>Herring</t>
  </si>
  <si>
    <t>Salmon</t>
  </si>
  <si>
    <t>Seabass</t>
  </si>
  <si>
    <t>Tuna - fresh</t>
  </si>
  <si>
    <t>Weight (g)</t>
  </si>
  <si>
    <t>Emissions (gCO2e)</t>
  </si>
  <si>
    <t>Butter</t>
  </si>
  <si>
    <t>Buttermilk</t>
  </si>
  <si>
    <t>Cheese</t>
  </si>
  <si>
    <t>Milk</t>
  </si>
  <si>
    <t>Oatly Oat Drink</t>
  </si>
  <si>
    <t>Sour cream</t>
  </si>
  <si>
    <t>Yogurt</t>
  </si>
  <si>
    <t>Dairy and alternatives</t>
  </si>
  <si>
    <t>Eggs</t>
  </si>
  <si>
    <t>Fruits</t>
  </si>
  <si>
    <t>Apples</t>
  </si>
  <si>
    <t>Avocados</t>
  </si>
  <si>
    <t>Bananas</t>
  </si>
  <si>
    <t>Berries</t>
  </si>
  <si>
    <t>Lemons</t>
  </si>
  <si>
    <t>Mandarins</t>
  </si>
  <si>
    <t>Tomatoes</t>
  </si>
  <si>
    <t>Strawberries</t>
  </si>
  <si>
    <t>Melons</t>
  </si>
  <si>
    <t>Raspberries</t>
  </si>
  <si>
    <t>Black beans</t>
  </si>
  <si>
    <t>Bulgar</t>
  </si>
  <si>
    <t>Chickpeas</t>
  </si>
  <si>
    <t>Corn</t>
  </si>
  <si>
    <t>Couscous</t>
  </si>
  <si>
    <t>Lentils</t>
  </si>
  <si>
    <t>Noodles</t>
  </si>
  <si>
    <t>Oats</t>
  </si>
  <si>
    <t>Pasta</t>
  </si>
  <si>
    <t>Quinoa</t>
  </si>
  <si>
    <t>Rice</t>
  </si>
  <si>
    <t>Spaghetti</t>
  </si>
  <si>
    <t>Beef</t>
  </si>
  <si>
    <t>Chicken</t>
  </si>
  <si>
    <t>Duck</t>
  </si>
  <si>
    <t>Falafel</t>
  </si>
  <si>
    <t>Prok</t>
  </si>
  <si>
    <t>Steak</t>
  </si>
  <si>
    <t>Tofu</t>
  </si>
  <si>
    <t>Turkey</t>
  </si>
  <si>
    <t>Lamb</t>
  </si>
  <si>
    <t>Sweet potato</t>
  </si>
  <si>
    <t>Potatoes</t>
  </si>
  <si>
    <t>Asparagus</t>
  </si>
  <si>
    <t>Aubergine</t>
  </si>
  <si>
    <t>Beetroot</t>
  </si>
  <si>
    <t>Broccoli</t>
  </si>
  <si>
    <t>Cabbage</t>
  </si>
  <si>
    <t>Carrot</t>
  </si>
  <si>
    <t>Cauliflower</t>
  </si>
  <si>
    <t>Cucumber</t>
  </si>
  <si>
    <t>Garlic</t>
  </si>
  <si>
    <t>Ginger</t>
  </si>
  <si>
    <t>Green beans</t>
  </si>
  <si>
    <t>Lettuce</t>
  </si>
  <si>
    <t>Mushrooms</t>
  </si>
  <si>
    <t>Onion</t>
  </si>
  <si>
    <t>Peas</t>
  </si>
  <si>
    <t>Peppers</t>
  </si>
  <si>
    <t>Spinach</t>
  </si>
  <si>
    <t>Spring onion</t>
  </si>
  <si>
    <t>Beef Lasagne</t>
  </si>
  <si>
    <t>Chicken Korma Curry</t>
  </si>
  <si>
    <t>Lamp Masala Curry</t>
  </si>
  <si>
    <t>Pizza</t>
  </si>
  <si>
    <t>Spagethi Bolognese</t>
  </si>
  <si>
    <t>Vegetables</t>
  </si>
  <si>
    <t>Food Basis</t>
  </si>
  <si>
    <t>Meat Alternatives</t>
  </si>
  <si>
    <t>Meat</t>
  </si>
  <si>
    <t>Proceeded Meals</t>
  </si>
  <si>
    <t>Mean</t>
  </si>
  <si>
    <t>Fish</t>
  </si>
  <si>
    <t>Average Meal for our experiment</t>
  </si>
  <si>
    <t>Total</t>
  </si>
  <si>
    <t>vegetarian</t>
  </si>
  <si>
    <t>non-vegetarian</t>
  </si>
  <si>
    <t>Weight</t>
  </si>
  <si>
    <t>Veggie</t>
  </si>
  <si>
    <t>Eco-score</t>
  </si>
  <si>
    <t>https://docs.score-environnemental.com/</t>
  </si>
  <si>
    <t>True Price</t>
  </si>
  <si>
    <t>https://trueprice.org/true-price-resources/</t>
  </si>
  <si>
    <t>Bayrisches Landesamt für Umwelt</t>
  </si>
  <si>
    <t>https://www.umweltpakt.bayern.de/energie_klima/fachwissen/217/berechnung-co2-emissionen</t>
  </si>
  <si>
    <t>Umweltbundesamt</t>
  </si>
  <si>
    <t>https://www.probas.umweltbundesamt.de/php/index.php</t>
  </si>
  <si>
    <t>CO2-Rechner</t>
  </si>
  <si>
    <t>My Emissions</t>
  </si>
  <si>
    <t>https://de.statista.com/statistik/daten/studie/39219/umfrage/co2-emission-bei-der-herstellung-ausgewaehlter-lebensmittel/</t>
  </si>
  <si>
    <t>Statista</t>
  </si>
  <si>
    <t>Klimateller</t>
  </si>
  <si>
    <t>https://www.klimateller.de/essen-klima/</t>
  </si>
  <si>
    <t>https://www.wwf.de/fileadmin/user_upload/Klimawandel_auf_dem_Teller.pdf</t>
  </si>
  <si>
    <t>WWF</t>
  </si>
  <si>
    <t>Meat/Fish (einfacher Durchschnitt)</t>
  </si>
  <si>
    <t>SD</t>
  </si>
  <si>
    <t>Dairy/Eggs</t>
  </si>
  <si>
    <t>Bases/Vegetable/Dairy/Eggs (einfacher Durchschnitt)</t>
  </si>
  <si>
    <t>ProBas - Prozessorientierte Basisdaten für Umweltmanagementsysteme</t>
  </si>
  <si>
    <t>Prozesskategorien &gt; Materialien und Produkte &gt; planzliche und tierische Erzeugnisse</t>
  </si>
  <si>
    <t>https://www.probas.umweltbundesamt.de/php/prozessliste.php?topic_id=10200547328</t>
  </si>
  <si>
    <t>GEMIS-Szenario-Name:</t>
  </si>
  <si>
    <t>Ernährung: Nahrungsmittel im Einzelhandel in DE 2015, ohne Fisch [je kg]</t>
  </si>
  <si>
    <t>Kommentar:</t>
  </si>
  <si>
    <t>Dieses Szenario bilanziert den Herstellungsaufwand für die Bereitstellung ausgewählter Nahrungsmittel frei Einzelhandel in Deutschland im Jahr 2015 (durchschnittliche Daten). Soweit nötig, sind Auslandsanteile (z.B. bei Futtermittel) sowie Importe (z.B. Südfrüchte) einbezogen.</t>
  </si>
  <si>
    <t>Systemgrenzen:</t>
  </si>
  <si>
    <t>Gesamter Lebenszyklus inkl. Transporte + Materialvorleistung, ohne Entsorgung</t>
  </si>
  <si>
    <r>
      <t>Bezugspunkt Produkt</t>
    </r>
    <r>
      <rPr>
        <b/>
        <u/>
        <sz val="10"/>
        <color indexed="10"/>
        <rFont val="Arial"/>
        <family val="2"/>
      </rPr>
      <t>bereitstellung</t>
    </r>
    <r>
      <rPr>
        <b/>
        <sz val="10"/>
        <rFont val="Arial"/>
        <family val="2"/>
      </rPr>
      <t xml:space="preserve">, d.h. </t>
    </r>
    <r>
      <rPr>
        <b/>
        <u/>
        <sz val="10"/>
        <color indexed="10"/>
        <rFont val="Arial"/>
        <family val="2"/>
      </rPr>
      <t>ohne</t>
    </r>
    <r>
      <rPr>
        <b/>
        <sz val="10"/>
        <rFont val="Arial"/>
        <family val="2"/>
      </rPr>
      <t xml:space="preserve"> Zubereitung/Verzehr</t>
    </r>
  </si>
  <si>
    <t>Szenario-Option</t>
  </si>
  <si>
    <t>Erläuterung bzw. Kommentar</t>
  </si>
  <si>
    <t>Zeitbezug</t>
  </si>
  <si>
    <t>Brot-misch</t>
  </si>
  <si>
    <t>Mischbrot (Weizen) frei Einzelhandel, je kg Ware</t>
  </si>
  <si>
    <t>Gemüse-frisch</t>
  </si>
  <si>
    <t>frei Einzelhandel, je kg Ware</t>
  </si>
  <si>
    <t>Gemüse-Konserven</t>
  </si>
  <si>
    <t>Gemüse-TK</t>
  </si>
  <si>
    <t>Kartoffeln-frisch</t>
  </si>
  <si>
    <t>Kartoffeln-Pommes-TK</t>
  </si>
  <si>
    <t>Kartoffel-Trockenprodukte</t>
  </si>
  <si>
    <t>Tomaten-frisch</t>
  </si>
  <si>
    <t>Bananen-importiert</t>
  </si>
  <si>
    <t>Orangen-importiert</t>
  </si>
  <si>
    <t>Obst-frisch</t>
  </si>
  <si>
    <t>Reis-importiert</t>
  </si>
  <si>
    <t>Eier</t>
  </si>
  <si>
    <t>Milch</t>
  </si>
  <si>
    <t>Käse</t>
  </si>
  <si>
    <t>Wurst</t>
  </si>
  <si>
    <t>Masthähnchen-frisch</t>
  </si>
  <si>
    <t>Rindfleisch-frisch</t>
  </si>
  <si>
    <t>Schweinefleisch-frisch</t>
  </si>
  <si>
    <r>
      <t>CO</t>
    </r>
    <r>
      <rPr>
        <b/>
        <vertAlign val="subscript"/>
        <sz val="10"/>
        <rFont val="Arial"/>
        <family val="2"/>
      </rPr>
      <t>2</t>
    </r>
  </si>
  <si>
    <r>
      <t>CH</t>
    </r>
    <r>
      <rPr>
        <b/>
        <vertAlign val="subscript"/>
        <sz val="10"/>
        <rFont val="Arial"/>
        <family val="2"/>
      </rPr>
      <t>4</t>
    </r>
  </si>
  <si>
    <r>
      <t>N</t>
    </r>
    <r>
      <rPr>
        <b/>
        <vertAlign val="subscript"/>
        <sz val="10"/>
        <rFont val="Arial"/>
        <family val="2"/>
      </rPr>
      <t>2</t>
    </r>
    <r>
      <rPr>
        <b/>
        <sz val="10"/>
        <rFont val="Arial"/>
        <family val="2"/>
      </rPr>
      <t>O</t>
    </r>
  </si>
  <si>
    <t>CO2-Äquivalent</t>
  </si>
  <si>
    <t>https://www.ipcc.ch/data/</t>
  </si>
  <si>
    <t>Intergovernmental panel on climate change</t>
  </si>
  <si>
    <t>http://foodcarbonscope.com/Info.aspx</t>
  </si>
  <si>
    <t>Clean Metrics (used by Camilleri et al. 2019)</t>
  </si>
  <si>
    <t>Money</t>
  </si>
  <si>
    <t>€/tCO2e</t>
  </si>
  <si>
    <t>g</t>
  </si>
  <si>
    <t>gCO2e</t>
  </si>
  <si>
    <t>Foodbudget</t>
  </si>
  <si>
    <t>€</t>
  </si>
  <si>
    <t>Glühbirne</t>
  </si>
  <si>
    <t>Stromleistung pro Stunde</t>
  </si>
  <si>
    <t>kWh</t>
  </si>
  <si>
    <t>Brenndauer mit 1 kW</t>
  </si>
  <si>
    <t>h</t>
  </si>
  <si>
    <t>Emissionsfaktor für den deutschen Strommix</t>
  </si>
  <si>
    <t>gCO2/kWh</t>
  </si>
  <si>
    <t>gCO2e/kWh</t>
  </si>
  <si>
    <t>Lightbulb treatment</t>
  </si>
  <si>
    <t>Money treatment</t>
  </si>
  <si>
    <t>Money (€)</t>
  </si>
  <si>
    <t>https://www.umweltbundesamt.de/sites/default/files/medien/1410/publikationen/2020-04-01_climate-change_13-2020_strommix_2020_fin.pdf</t>
  </si>
  <si>
    <t>https://www.umweltbundesamt.de/sites/default/files/medien/1410/publikationen/2020-12-21_methodenkonvention_3_1_kostensaetze.pdf</t>
  </si>
  <si>
    <t>Glühbirnenstunde</t>
  </si>
  <si>
    <t>Glühbirnenminute</t>
  </si>
  <si>
    <t>gCO2e/lbmin</t>
  </si>
  <si>
    <t>lbh</t>
  </si>
  <si>
    <t>lbmin</t>
  </si>
  <si>
    <t>gCO2e/lbh</t>
  </si>
  <si>
    <t>Average</t>
  </si>
  <si>
    <t>Budget</t>
  </si>
  <si>
    <t>lightbulb hours</t>
  </si>
  <si>
    <t>Food item</t>
  </si>
  <si>
    <t>Basis</t>
  </si>
  <si>
    <t>Foodbudget (%)</t>
  </si>
  <si>
    <t>Lightbulb (h)</t>
  </si>
  <si>
    <t>Lightblub</t>
  </si>
  <si>
    <t>W</t>
  </si>
  <si>
    <t>Umweltkosten (heutige Generation = zukünftige Generation)</t>
  </si>
  <si>
    <t>Umweltkosten (heutige Generation &gt; zukünftige Generation)</t>
  </si>
  <si>
    <t>Food Category</t>
  </si>
  <si>
    <t>Dairy</t>
  </si>
  <si>
    <t>Other</t>
  </si>
  <si>
    <t>https://www.bundestag.de/resource/blob/660794/dfdee26b00e44b018b04a187f0c6843e/WD-8-056-19-pdf-data.pdf</t>
  </si>
  <si>
    <t>CO2-Emissionen im Verkehrsbereich</t>
  </si>
  <si>
    <t>Car (km)</t>
  </si>
  <si>
    <t>Budget treatment</t>
  </si>
  <si>
    <t>CO2e-emissions in 2018:</t>
  </si>
  <si>
    <t>GtCO2e</t>
  </si>
  <si>
    <t>billion people</t>
  </si>
  <si>
    <t>Yearly reduction (UN):</t>
  </si>
  <si>
    <t>Population in 2018:</t>
  </si>
  <si>
    <t>Food</t>
  </si>
  <si>
    <t>Year</t>
  </si>
  <si>
    <t>Food pP (Year)</t>
  </si>
  <si>
    <t>Food pP (day)</t>
  </si>
  <si>
    <t>kgCO2 pP (year)</t>
  </si>
  <si>
    <t>kilogramm</t>
  </si>
  <si>
    <t>gramm</t>
  </si>
  <si>
    <t>Car treatment</t>
  </si>
  <si>
    <t>PKW</t>
  </si>
  <si>
    <t>Treibhausgase (2019)</t>
  </si>
  <si>
    <t>https://www.umweltbundesamt.de/sites/default/files/medien/366/bilder/dateien/uba_emissionstabelle_personenverkehr_2019.pdf</t>
  </si>
  <si>
    <t>Quinoapfanne</t>
  </si>
  <si>
    <t>gCO2</t>
  </si>
  <si>
    <t>Gewichtung</t>
  </si>
  <si>
    <t>g-Anteil</t>
  </si>
  <si>
    <t>gCO2-Anteil</t>
  </si>
  <si>
    <t>Cannelloni</t>
  </si>
  <si>
    <t>g/km</t>
  </si>
  <si>
    <t>One pot Quinoa</t>
  </si>
  <si>
    <t>https://www.kochbar.de/rezept/524700/Quinoa-Pfanne-und-Breakfast-Quinoa.html</t>
  </si>
  <si>
    <t>parsely</t>
  </si>
  <si>
    <t>salt</t>
  </si>
  <si>
    <t>black pepper</t>
  </si>
  <si>
    <t>quinoa</t>
  </si>
  <si>
    <t>olive oil</t>
  </si>
  <si>
    <t>shallot</t>
  </si>
  <si>
    <t>peppes (red)</t>
  </si>
  <si>
    <t>tomatoes</t>
  </si>
  <si>
    <t>total</t>
  </si>
  <si>
    <t>total per 100g</t>
  </si>
  <si>
    <t>https://www.mri.bund.de/fileadmin/MRI/Institute/EV/MRI-Produktmonitoring-2020_Ergebnisbericht-final.pdf</t>
  </si>
  <si>
    <t>Max Rubner-Institut - Ergebnisbericht Produktmonitoring 2020</t>
  </si>
  <si>
    <t>Apotheken-Umschau (Daten vom MRI)</t>
  </si>
  <si>
    <t>https://www.apotheken-umschau.de/gesund-bleiben/abnehmen/rechner-wie-viele-kalorien-enthaelt-ihr-lebensmittel-710327.html</t>
  </si>
  <si>
    <t>Kalorientabelle</t>
  </si>
  <si>
    <t>https://www.kalorientabelle.net/</t>
  </si>
  <si>
    <t>Calories (kcal) Apotheke</t>
  </si>
  <si>
    <t>Calories (kcal) kalorientabelle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</si>
</sst>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 _€_-;\-* #,##0.00\ _€_-;_-* &quot;-&quot;??\ _€_-;_-@_-"/>
    <numFmt numFmtId="164" formatCode="0.0000"/>
    <numFmt numFmtId="165" formatCode="_-* #,##0\ _D_M_-;\-* #,##0\ _D_M_-;_-* &quot;-&quot;??\ _D_M_-;_-@_-"/>
    <numFmt numFmtId="166" formatCode="0.0"/>
    <numFmt numFmtId="167" formatCode="#,##0.00\ &quot;€&quot;"/>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i/>
      <sz val="11"/>
      <color theme="1"/>
      <name val="Calibri"/>
      <family val="2"/>
      <scheme val="minor"/>
    </font>
    <font>
      <b/>
      <sz val="10"/>
      <name val="Arial"/>
      <family val="2"/>
    </font>
    <font>
      <sz val="10"/>
      <name val="Arial"/>
      <family val="2"/>
    </font>
    <font>
      <b/>
      <u/>
      <sz val="10"/>
      <color indexed="10"/>
      <name val="Arial"/>
      <family val="2"/>
    </font>
    <font>
      <b/>
      <vertAlign val="subscript"/>
      <sz val="10"/>
      <name val="Arial"/>
      <family val="2"/>
    </font>
    <font>
      <sz val="9"/>
      <color indexed="81"/>
      <name val="Segoe UI"/>
      <family val="2"/>
    </font>
    <font>
      <b/>
      <sz val="9"/>
      <color indexed="81"/>
      <name val="Segoe UI"/>
      <family val="2"/>
    </font>
  </fonts>
  <fills count="1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indexed="9"/>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7">
    <xf numFmtId="0" fontId="0" fillId="0" borderId="0" xfId="0"/>
    <xf numFmtId="0" fontId="3" fillId="0" borderId="0" xfId="2"/>
    <xf numFmtId="0" fontId="0" fillId="0" borderId="0" xfId="0" applyAlignment="1">
      <alignment horizontal="right"/>
    </xf>
    <xf numFmtId="0" fontId="0" fillId="0" borderId="0" xfId="0" applyFill="1"/>
    <xf numFmtId="0" fontId="0" fillId="2" borderId="5" xfId="0" applyFill="1" applyBorder="1"/>
    <xf numFmtId="0" fontId="0" fillId="2" borderId="6" xfId="0" applyFill="1" applyBorder="1"/>
    <xf numFmtId="0" fontId="0" fillId="0" borderId="8" xfId="0" applyBorder="1"/>
    <xf numFmtId="0" fontId="0" fillId="0" borderId="0" xfId="0" applyBorder="1"/>
    <xf numFmtId="0" fontId="0" fillId="0" borderId="10" xfId="0" applyBorder="1"/>
    <xf numFmtId="0" fontId="0" fillId="0" borderId="11" xfId="0" applyBorder="1"/>
    <xf numFmtId="0" fontId="0" fillId="0" borderId="8" xfId="0" applyFill="1" applyBorder="1"/>
    <xf numFmtId="0" fontId="2" fillId="0" borderId="0" xfId="0" applyFont="1"/>
    <xf numFmtId="0" fontId="0" fillId="0" borderId="0" xfId="0" applyFill="1" applyBorder="1"/>
    <xf numFmtId="4" fontId="0" fillId="0" borderId="9" xfId="0" applyNumberFormat="1" applyBorder="1"/>
    <xf numFmtId="4" fontId="0" fillId="0" borderId="12" xfId="0" applyNumberFormat="1" applyBorder="1"/>
    <xf numFmtId="4" fontId="0" fillId="0" borderId="9" xfId="0" applyNumberFormat="1" applyFill="1" applyBorder="1"/>
    <xf numFmtId="0" fontId="0" fillId="2" borderId="6" xfId="0" applyFont="1" applyFill="1" applyBorder="1" applyAlignment="1">
      <alignment horizontal="left"/>
    </xf>
    <xf numFmtId="0" fontId="0" fillId="2" borderId="7" xfId="0" applyFont="1" applyFill="1" applyBorder="1" applyAlignment="1">
      <alignment horizontal="left"/>
    </xf>
    <xf numFmtId="0" fontId="0" fillId="0" borderId="0" xfId="0" quotePrefix="1" applyFont="1" applyAlignment="1">
      <alignment horizontal="left"/>
    </xf>
    <xf numFmtId="0" fontId="0" fillId="0" borderId="0" xfId="0" applyFont="1" applyAlignment="1">
      <alignment horizontal="left"/>
    </xf>
    <xf numFmtId="0" fontId="0" fillId="2" borderId="5" xfId="0" applyFill="1" applyBorder="1" applyAlignment="1">
      <alignment horizontal="left"/>
    </xf>
    <xf numFmtId="0" fontId="0" fillId="0" borderId="0" xfId="0" applyFont="1" applyBorder="1" applyAlignment="1">
      <alignment horizontal="right"/>
    </xf>
    <xf numFmtId="4" fontId="0" fillId="0" borderId="9" xfId="0" applyNumberFormat="1" applyFont="1" applyBorder="1" applyAlignment="1">
      <alignment horizontal="right"/>
    </xf>
    <xf numFmtId="0" fontId="2" fillId="0" borderId="10" xfId="0" applyFont="1" applyFill="1" applyBorder="1"/>
    <xf numFmtId="4" fontId="2" fillId="0" borderId="12" xfId="0" applyNumberFormat="1" applyFont="1" applyBorder="1" applyAlignment="1">
      <alignment horizontal="right"/>
    </xf>
    <xf numFmtId="0" fontId="0" fillId="3" borderId="5" xfId="0" applyFill="1" applyBorder="1"/>
    <xf numFmtId="0" fontId="0" fillId="3" borderId="10" xfId="0" applyFill="1" applyBorder="1"/>
    <xf numFmtId="3" fontId="0" fillId="0" borderId="0" xfId="0" applyNumberFormat="1"/>
    <xf numFmtId="3" fontId="0" fillId="0" borderId="0" xfId="0" applyNumberFormat="1" applyFont="1" applyBorder="1" applyAlignment="1">
      <alignment horizontal="right"/>
    </xf>
    <xf numFmtId="3" fontId="2" fillId="0" borderId="11" xfId="0" applyNumberFormat="1" applyFont="1" applyBorder="1" applyAlignment="1">
      <alignment horizontal="right"/>
    </xf>
    <xf numFmtId="3" fontId="0" fillId="0" borderId="0" xfId="0" applyNumberFormat="1" applyBorder="1" applyAlignment="1">
      <alignment horizontal="right"/>
    </xf>
    <xf numFmtId="3" fontId="0" fillId="3" borderId="6" xfId="0" applyNumberFormat="1" applyFill="1" applyBorder="1"/>
    <xf numFmtId="3" fontId="0" fillId="3" borderId="11" xfId="0" applyNumberFormat="1" applyFill="1" applyBorder="1"/>
    <xf numFmtId="4" fontId="0" fillId="0" borderId="9" xfId="0" applyNumberFormat="1" applyBorder="1" applyAlignment="1">
      <alignment horizontal="right"/>
    </xf>
    <xf numFmtId="4" fontId="0" fillId="3" borderId="7" xfId="0" applyNumberFormat="1" applyFill="1" applyBorder="1"/>
    <xf numFmtId="4" fontId="0" fillId="3" borderId="12" xfId="0" applyNumberFormat="1" applyFill="1" applyBorder="1"/>
    <xf numFmtId="0" fontId="4" fillId="0" borderId="0" xfId="0" applyFont="1"/>
    <xf numFmtId="0" fontId="0" fillId="3" borderId="8" xfId="0" applyFill="1" applyBorder="1"/>
    <xf numFmtId="4" fontId="0" fillId="3" borderId="9" xfId="0" applyNumberFormat="1" applyFill="1" applyBorder="1"/>
    <xf numFmtId="0" fontId="0" fillId="0" borderId="12" xfId="0" applyBorder="1" applyAlignment="1">
      <alignment horizontal="center"/>
    </xf>
    <xf numFmtId="0" fontId="5" fillId="0" borderId="0" xfId="0" applyFont="1"/>
    <xf numFmtId="0" fontId="6" fillId="4" borderId="1" xfId="0" applyFont="1" applyFill="1" applyBorder="1"/>
    <xf numFmtId="0" fontId="6" fillId="4" borderId="1" xfId="0" applyFont="1" applyFill="1" applyBorder="1" applyAlignment="1">
      <alignment vertical="center"/>
    </xf>
    <xf numFmtId="0" fontId="6" fillId="4" borderId="13" xfId="0" applyFont="1" applyFill="1" applyBorder="1"/>
    <xf numFmtId="0" fontId="0" fillId="4" borderId="14" xfId="0" applyFill="1" applyBorder="1"/>
    <xf numFmtId="0" fontId="3" fillId="0" borderId="0" xfId="2" applyAlignment="1" applyProtection="1"/>
    <xf numFmtId="0" fontId="0" fillId="4" borderId="0" xfId="0" applyFill="1"/>
    <xf numFmtId="0" fontId="6" fillId="4" borderId="0" xfId="0" applyFont="1" applyFill="1"/>
    <xf numFmtId="0" fontId="6" fillId="0" borderId="15" xfId="0" applyFont="1" applyBorder="1" applyAlignment="1">
      <alignment horizontal="center"/>
    </xf>
    <xf numFmtId="164" fontId="7" fillId="0" borderId="17" xfId="0" applyNumberFormat="1" applyFont="1" applyFill="1" applyBorder="1"/>
    <xf numFmtId="0" fontId="0" fillId="0" borderId="17" xfId="0" applyFill="1" applyBorder="1"/>
    <xf numFmtId="164" fontId="7" fillId="0" borderId="18" xfId="0" applyNumberFormat="1" applyFont="1" applyFill="1" applyBorder="1"/>
    <xf numFmtId="0" fontId="0" fillId="0" borderId="18" xfId="0" applyFill="1" applyBorder="1"/>
    <xf numFmtId="164" fontId="7" fillId="0" borderId="18" xfId="0" applyNumberFormat="1" applyFont="1" applyFill="1" applyBorder="1" applyAlignment="1">
      <alignment vertical="center"/>
    </xf>
    <xf numFmtId="164" fontId="7" fillId="0" borderId="19" xfId="0" applyNumberFormat="1" applyFont="1" applyBorder="1"/>
    <xf numFmtId="0" fontId="0" fillId="0" borderId="20" xfId="0" applyBorder="1"/>
    <xf numFmtId="0" fontId="6" fillId="0" borderId="23" xfId="0" applyFont="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165" fontId="7" fillId="0" borderId="26" xfId="1" applyNumberFormat="1" applyFont="1" applyBorder="1"/>
    <xf numFmtId="165" fontId="7" fillId="0" borderId="21" xfId="1" applyNumberFormat="1" applyFont="1" applyBorder="1"/>
    <xf numFmtId="166" fontId="0" fillId="0" borderId="21" xfId="0" applyNumberFormat="1" applyBorder="1"/>
    <xf numFmtId="2" fontId="0" fillId="0" borderId="22" xfId="0" applyNumberFormat="1" applyBorder="1"/>
    <xf numFmtId="165" fontId="7" fillId="0" borderId="27" xfId="1" applyNumberFormat="1" applyFont="1" applyBorder="1"/>
    <xf numFmtId="165" fontId="7" fillId="0" borderId="1" xfId="1" applyNumberFormat="1" applyFont="1" applyBorder="1"/>
    <xf numFmtId="166" fontId="0" fillId="0" borderId="1" xfId="0" applyNumberFormat="1" applyBorder="1"/>
    <xf numFmtId="2" fontId="0" fillId="0" borderId="28" xfId="0" applyNumberFormat="1" applyBorder="1"/>
    <xf numFmtId="165" fontId="7" fillId="0" borderId="29" xfId="1" applyNumberFormat="1" applyFont="1" applyBorder="1"/>
    <xf numFmtId="165" fontId="7" fillId="0" borderId="24" xfId="1" applyNumberFormat="1" applyFont="1" applyBorder="1"/>
    <xf numFmtId="166" fontId="0" fillId="0" borderId="24" xfId="0" applyNumberFormat="1" applyBorder="1"/>
    <xf numFmtId="2" fontId="0" fillId="0" borderId="25" xfId="0" applyNumberFormat="1" applyBorder="1"/>
    <xf numFmtId="3" fontId="0" fillId="0" borderId="0" xfId="0" applyNumberFormat="1" applyBorder="1"/>
    <xf numFmtId="0" fontId="0" fillId="0" borderId="0" xfId="0" applyFont="1" applyAlignment="1">
      <alignment horizontal="right"/>
    </xf>
    <xf numFmtId="167" fontId="0" fillId="0" borderId="0" xfId="0" applyNumberFormat="1"/>
    <xf numFmtId="4" fontId="0" fillId="2" borderId="6" xfId="0" applyNumberFormat="1" applyFill="1" applyBorder="1"/>
    <xf numFmtId="4" fontId="0" fillId="0" borderId="0" xfId="0" applyNumberFormat="1" applyBorder="1"/>
    <xf numFmtId="4" fontId="0" fillId="0" borderId="11" xfId="0" applyNumberFormat="1" applyBorder="1"/>
    <xf numFmtId="0" fontId="0" fillId="0" borderId="6"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Alignment="1">
      <alignment horizontal="center"/>
    </xf>
    <xf numFmtId="4" fontId="0" fillId="0" borderId="0" xfId="0" applyNumberFormat="1" applyAlignment="1">
      <alignment horizontal="center"/>
    </xf>
    <xf numFmtId="4" fontId="0" fillId="0" borderId="0" xfId="0" applyNumberFormat="1" applyFill="1" applyAlignment="1">
      <alignment horizontal="center"/>
    </xf>
    <xf numFmtId="2" fontId="0" fillId="0" borderId="0" xfId="0" applyNumberFormat="1" applyFill="1" applyAlignment="1">
      <alignment horizontal="center"/>
    </xf>
    <xf numFmtId="4" fontId="2" fillId="0" borderId="12" xfId="0" applyNumberFormat="1" applyFont="1" applyBorder="1"/>
    <xf numFmtId="0" fontId="3" fillId="0" borderId="0" xfId="2" applyFill="1"/>
    <xf numFmtId="0" fontId="0" fillId="0" borderId="5" xfId="0" applyBorder="1"/>
    <xf numFmtId="0" fontId="0" fillId="0" borderId="6" xfId="0" applyBorder="1"/>
    <xf numFmtId="0" fontId="0" fillId="0" borderId="7" xfId="0" applyBorder="1"/>
    <xf numFmtId="0" fontId="0" fillId="0" borderId="12" xfId="0" applyBorder="1"/>
    <xf numFmtId="0" fontId="0" fillId="0" borderId="9" xfId="0" applyBorder="1"/>
    <xf numFmtId="0" fontId="0" fillId="0" borderId="4" xfId="0" applyFont="1" applyBorder="1" applyAlignment="1">
      <alignment horizontal="left"/>
    </xf>
    <xf numFmtId="0" fontId="0" fillId="0" borderId="2" xfId="0" applyFont="1" applyBorder="1" applyAlignment="1">
      <alignment horizontal="left"/>
    </xf>
    <xf numFmtId="0" fontId="0" fillId="0" borderId="6" xfId="0" applyFill="1" applyBorder="1" applyAlignment="1">
      <alignment horizontal="center"/>
    </xf>
    <xf numFmtId="0" fontId="0" fillId="0" borderId="8" xfId="0" applyBorder="1" applyAlignment="1">
      <alignment horizontal="center"/>
    </xf>
    <xf numFmtId="0" fontId="0" fillId="0" borderId="0" xfId="0" applyBorder="1" applyAlignment="1">
      <alignment horizontal="center"/>
    </xf>
    <xf numFmtId="2" fontId="0" fillId="0" borderId="9" xfId="0" applyNumberFormat="1" applyFill="1" applyBorder="1" applyAlignment="1">
      <alignment horizontal="center"/>
    </xf>
    <xf numFmtId="0" fontId="0" fillId="0" borderId="0" xfId="0" applyFill="1" applyBorder="1" applyAlignment="1">
      <alignment horizontal="center" wrapText="1"/>
    </xf>
    <xf numFmtId="0" fontId="0" fillId="0" borderId="0" xfId="0"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wrapText="1"/>
    </xf>
    <xf numFmtId="0" fontId="0" fillId="2" borderId="7" xfId="0" applyFill="1" applyBorder="1" applyAlignment="1">
      <alignment horizontal="center" wrapText="1"/>
    </xf>
    <xf numFmtId="4" fontId="0" fillId="0" borderId="6" xfId="0" applyNumberFormat="1" applyFill="1" applyBorder="1" applyAlignment="1">
      <alignment horizontal="center"/>
    </xf>
    <xf numFmtId="2" fontId="0" fillId="0" borderId="6" xfId="0" applyNumberFormat="1" applyFill="1" applyBorder="1" applyAlignment="1">
      <alignment horizontal="center"/>
    </xf>
    <xf numFmtId="4" fontId="0" fillId="5" borderId="0" xfId="0" applyNumberFormat="1" applyFill="1" applyBorder="1" applyAlignment="1">
      <alignment horizontal="center"/>
    </xf>
    <xf numFmtId="0" fontId="0" fillId="5" borderId="3" xfId="0" applyFont="1" applyFill="1" applyBorder="1" applyAlignment="1">
      <alignment horizontal="right"/>
    </xf>
    <xf numFmtId="167" fontId="0" fillId="0" borderId="0" xfId="0" applyNumberFormat="1" applyBorder="1"/>
    <xf numFmtId="4" fontId="0" fillId="0" borderId="0" xfId="0" applyNumberFormat="1" applyFill="1" applyBorder="1"/>
    <xf numFmtId="0" fontId="0" fillId="2" borderId="7" xfId="0" applyFill="1" applyBorder="1"/>
    <xf numFmtId="0" fontId="4" fillId="0" borderId="10" xfId="0" applyFont="1" applyBorder="1"/>
    <xf numFmtId="0" fontId="4" fillId="0" borderId="11" xfId="0" applyFont="1" applyBorder="1"/>
    <xf numFmtId="43" fontId="4" fillId="0" borderId="11" xfId="1" applyFont="1" applyBorder="1"/>
    <xf numFmtId="4" fontId="4" fillId="0" borderId="11" xfId="0" applyNumberFormat="1" applyFont="1" applyBorder="1"/>
    <xf numFmtId="4" fontId="2" fillId="0" borderId="11" xfId="0" applyNumberFormat="1" applyFont="1" applyBorder="1"/>
    <xf numFmtId="167" fontId="0" fillId="2" borderId="7" xfId="0" applyNumberFormat="1" applyFill="1" applyBorder="1"/>
    <xf numFmtId="0" fontId="2" fillId="0" borderId="10" xfId="0" applyFont="1" applyBorder="1"/>
    <xf numFmtId="2" fontId="2" fillId="0" borderId="11" xfId="1" applyNumberFormat="1" applyFont="1" applyBorder="1"/>
    <xf numFmtId="2" fontId="2" fillId="0" borderId="11" xfId="0" applyNumberFormat="1" applyFont="1" applyBorder="1"/>
    <xf numFmtId="0" fontId="0" fillId="2" borderId="6" xfId="0" applyFill="1" applyBorder="1" applyAlignment="1">
      <alignment horizontal="center"/>
    </xf>
    <xf numFmtId="4" fontId="0" fillId="2" borderId="6" xfId="0" applyNumberFormat="1" applyFill="1" applyBorder="1" applyAlignment="1">
      <alignment horizontal="center"/>
    </xf>
    <xf numFmtId="167" fontId="0" fillId="2" borderId="7" xfId="0" applyNumberFormat="1" applyFill="1" applyBorder="1" applyAlignment="1">
      <alignment horizontal="center"/>
    </xf>
    <xf numFmtId="0" fontId="2" fillId="6" borderId="0" xfId="0" applyFont="1" applyFill="1" applyAlignment="1">
      <alignment horizontal="left"/>
    </xf>
    <xf numFmtId="0" fontId="2" fillId="6" borderId="0" xfId="0" applyFont="1" applyFill="1" applyAlignment="1">
      <alignment horizontal="center"/>
    </xf>
    <xf numFmtId="0" fontId="0" fillId="5" borderId="0" xfId="0" applyFill="1"/>
    <xf numFmtId="4" fontId="0" fillId="3" borderId="5" xfId="0" applyNumberFormat="1" applyFill="1" applyBorder="1"/>
    <xf numFmtId="4" fontId="0" fillId="3" borderId="10" xfId="0" applyNumberFormat="1" applyFill="1" applyBorder="1"/>
    <xf numFmtId="4" fontId="0" fillId="3" borderId="8" xfId="0" applyNumberFormat="1" applyFill="1" applyBorder="1"/>
    <xf numFmtId="3" fontId="0" fillId="3" borderId="30" xfId="0" applyNumberFormat="1" applyFill="1" applyBorder="1"/>
    <xf numFmtId="3" fontId="0" fillId="3" borderId="14" xfId="0" applyNumberFormat="1" applyFill="1" applyBorder="1"/>
    <xf numFmtId="3" fontId="0" fillId="0" borderId="0" xfId="0" applyNumberFormat="1" applyFill="1" applyBorder="1"/>
    <xf numFmtId="0" fontId="0" fillId="0" borderId="1" xfId="0" applyBorder="1"/>
    <xf numFmtId="4" fontId="0" fillId="0" borderId="1" xfId="0" applyNumberFormat="1" applyBorder="1"/>
    <xf numFmtId="4" fontId="0" fillId="5" borderId="1" xfId="0" applyNumberFormat="1" applyFill="1" applyBorder="1"/>
    <xf numFmtId="0" fontId="0" fillId="7" borderId="1" xfId="0" applyFill="1" applyBorder="1"/>
    <xf numFmtId="4" fontId="0" fillId="7" borderId="1" xfId="0" applyNumberFormat="1" applyFill="1" applyBorder="1"/>
    <xf numFmtId="4" fontId="0" fillId="8" borderId="1" xfId="0" applyNumberFormat="1" applyFill="1" applyBorder="1"/>
    <xf numFmtId="0" fontId="0" fillId="9" borderId="1" xfId="0" applyFill="1" applyBorder="1"/>
    <xf numFmtId="4" fontId="0" fillId="9" borderId="1" xfId="0" applyNumberFormat="1" applyFill="1" applyBorder="1"/>
    <xf numFmtId="3" fontId="0" fillId="8" borderId="1" xfId="0" applyNumberFormat="1" applyFill="1" applyBorder="1"/>
    <xf numFmtId="0" fontId="0" fillId="0" borderId="1" xfId="0" applyFill="1" applyBorder="1"/>
    <xf numFmtId="0" fontId="2" fillId="0" borderId="0" xfId="0" applyFont="1" applyFill="1" applyBorder="1"/>
    <xf numFmtId="0" fontId="2" fillId="0" borderId="0" xfId="0" applyFont="1" applyBorder="1"/>
    <xf numFmtId="0" fontId="0" fillId="0" borderId="2" xfId="0" applyBorder="1"/>
    <xf numFmtId="0" fontId="0" fillId="0" borderId="3" xfId="0" applyBorder="1"/>
    <xf numFmtId="0" fontId="0" fillId="0" borderId="4" xfId="0" applyBorder="1"/>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7" fillId="0" borderId="11" xfId="0" applyFont="1" applyFill="1" applyBorder="1" applyAlignment="1">
      <alignment horizontal="left" wrapText="1"/>
    </xf>
    <xf numFmtId="0" fontId="0" fillId="0" borderId="11" xfId="0" applyFill="1" applyBorder="1" applyAlignment="1">
      <alignment horizontal="left" wrapText="1"/>
    </xf>
    <xf numFmtId="0" fontId="6" fillId="4" borderId="2" xfId="0" applyFont="1" applyFill="1" applyBorder="1"/>
    <xf numFmtId="0" fontId="6" fillId="4" borderId="3" xfId="0" applyFont="1" applyFill="1" applyBorder="1"/>
    <xf numFmtId="0" fontId="6" fillId="4" borderId="4" xfId="0" applyFont="1" applyFill="1" applyBorder="1"/>
    <xf numFmtId="0" fontId="7" fillId="4" borderId="2" xfId="0" applyNumberFormat="1" applyFont="1" applyFill="1" applyBorder="1" applyAlignment="1">
      <alignment horizontal="left" vertical="top" wrapText="1"/>
    </xf>
    <xf numFmtId="0" fontId="0" fillId="4" borderId="3" xfId="0" applyNumberFormat="1" applyFill="1" applyBorder="1" applyAlignment="1">
      <alignment horizontal="left" vertical="top"/>
    </xf>
    <xf numFmtId="0" fontId="0" fillId="4" borderId="4" xfId="0" applyNumberFormat="1" applyFill="1" applyBorder="1" applyAlignment="1">
      <alignment horizontal="left" vertical="top"/>
    </xf>
    <xf numFmtId="0" fontId="0" fillId="4" borderId="5" xfId="0" applyFill="1" applyBorder="1"/>
    <xf numFmtId="0" fontId="0" fillId="4" borderId="6" xfId="0" applyFill="1" applyBorder="1"/>
    <xf numFmtId="0" fontId="0" fillId="4" borderId="7" xfId="0" applyFill="1" applyBorder="1"/>
    <xf numFmtId="0" fontId="6" fillId="4" borderId="10" xfId="0" applyFont="1" applyFill="1" applyBorder="1"/>
    <xf numFmtId="0" fontId="6" fillId="4" borderId="11" xfId="0" applyFont="1" applyFill="1" applyBorder="1"/>
    <xf numFmtId="0" fontId="6" fillId="4" borderId="12" xfId="0" applyFont="1" applyFill="1" applyBorder="1"/>
    <xf numFmtId="0" fontId="6" fillId="0" borderId="16" xfId="0" applyFont="1" applyBorder="1" applyAlignment="1">
      <alignment horizontal="center"/>
    </xf>
    <xf numFmtId="0" fontId="0" fillId="10" borderId="5" xfId="0" applyFont="1" applyFill="1" applyBorder="1"/>
    <xf numFmtId="0" fontId="0" fillId="10" borderId="6" xfId="0" applyFont="1" applyFill="1" applyBorder="1"/>
    <xf numFmtId="4" fontId="0" fillId="10" borderId="6" xfId="0" applyNumberFormat="1" applyFont="1" applyFill="1" applyBorder="1"/>
    <xf numFmtId="4" fontId="0" fillId="10" borderId="7" xfId="0" applyNumberFormat="1" applyFont="1" applyFill="1" applyBorder="1"/>
    <xf numFmtId="0" fontId="0" fillId="10" borderId="10" xfId="0" applyFont="1" applyFill="1" applyBorder="1"/>
    <xf numFmtId="0" fontId="0" fillId="10" borderId="11" xfId="0" applyFont="1" applyFill="1" applyBorder="1"/>
    <xf numFmtId="4" fontId="0" fillId="10" borderId="11" xfId="0" applyNumberFormat="1" applyFont="1" applyFill="1" applyBorder="1"/>
    <xf numFmtId="4" fontId="0" fillId="10" borderId="12" xfId="0" applyNumberFormat="1" applyFont="1" applyFill="1" applyBorder="1"/>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Alignment="1">
      <alignment horizontal="right"/>
    </xf>
  </cellXfs>
  <cellStyles count="3">
    <cellStyle name="Komma" xfId="1" builtinId="3"/>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758825</xdr:colOff>
      <xdr:row>2</xdr:row>
      <xdr:rowOff>9524</xdr:rowOff>
    </xdr:from>
    <xdr:to>
      <xdr:col>20</xdr:col>
      <xdr:colOff>600075</xdr:colOff>
      <xdr:row>34</xdr:row>
      <xdr:rowOff>0</xdr:rowOff>
    </xdr:to>
    <xdr:sp macro="" textlink="">
      <xdr:nvSpPr>
        <xdr:cNvPr id="2" name="Textfeld 1">
          <a:extLst>
            <a:ext uri="{FF2B5EF4-FFF2-40B4-BE49-F238E27FC236}">
              <a16:creationId xmlns:a16="http://schemas.microsoft.com/office/drawing/2014/main" id="{EA4F3EE7-EE07-471C-8298-BF6D9E23A119}"/>
            </a:ext>
          </a:extLst>
        </xdr:cNvPr>
        <xdr:cNvSpPr txBox="1"/>
      </xdr:nvSpPr>
      <xdr:spPr>
        <a:xfrm>
          <a:off x="9531350" y="371474"/>
          <a:ext cx="5937250" cy="5781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Source: https://myemissions.green/food-carbon-footprint-calculator/</a:t>
          </a:r>
        </a:p>
        <a:p>
          <a:endParaRPr lang="de-DE" sz="1100" u="sng"/>
        </a:p>
        <a:p>
          <a:r>
            <a:rPr lang="de-DE" sz="1100" b="1" i="0" u="sng" strike="noStrike">
              <a:solidFill>
                <a:schemeClr val="dk1"/>
              </a:solidFill>
              <a:effectLst/>
              <a:latin typeface="+mn-lt"/>
              <a:ea typeface="+mn-ea"/>
              <a:cs typeface="+mn-cs"/>
            </a:rPr>
            <a:t>The Fair Daily Food Emissions (FDFE)</a:t>
          </a:r>
        </a:p>
        <a:p>
          <a:pPr marL="171450" indent="-171450">
            <a:buFont typeface="Arial" panose="020B0604020202020204" pitchFamily="34" charset="0"/>
            <a:buChar char="•"/>
          </a:pPr>
          <a:r>
            <a:rPr lang="de-DE"/>
            <a:t>for a better understanding of the carbon footprint, results are displayed as a percentage of the recommended daily amount </a:t>
          </a:r>
        </a:p>
        <a:p>
          <a:pPr marL="171450" indent="-171450">
            <a:buFont typeface="Arial" panose="020B0604020202020204" pitchFamily="34" charset="0"/>
            <a:buChar char="•"/>
          </a:pPr>
          <a:r>
            <a:rPr lang="de-DE" sz="1100"/>
            <a:t>global value (not by region even </a:t>
          </a:r>
          <a:r>
            <a:rPr lang="de-DE" sz="1100">
              <a:solidFill>
                <a:sysClr val="windowText" lastClr="000000"/>
              </a:solidFill>
            </a:rPr>
            <a:t>though</a:t>
          </a:r>
          <a:r>
            <a:rPr lang="de-DE" sz="1100" u="none">
              <a:solidFill>
                <a:sysClr val="windowText" lastClr="000000"/>
              </a:solidFill>
            </a:rPr>
            <a:t> top 10 (</a:t>
          </a:r>
          <a:r>
            <a:rPr lang="de-DE" sz="1100" u="sng">
              <a:solidFill>
                <a:sysClr val="windowText" lastClr="000000"/>
              </a:solidFill>
            </a:rPr>
            <a:t>https://www.wri.org/insights/interactive-chart-shows-changes-worlds-top-10-emitters</a:t>
          </a:r>
          <a:r>
            <a:rPr lang="de-DE" sz="1100" u="none">
              <a:solidFill>
                <a:sysClr val="windowText" lastClr="000000"/>
              </a:solidFill>
            </a:rPr>
            <a:t>) </a:t>
          </a:r>
          <a:r>
            <a:rPr lang="de-DE" sz="1100"/>
            <a:t>countries are resonsible for over 50% of total emissions each year)</a:t>
          </a:r>
        </a:p>
        <a:p>
          <a:pPr marL="171450" indent="-171450">
            <a:buFont typeface="Arial" panose="020B0604020202020204" pitchFamily="34" charset="0"/>
            <a:buChar char="•"/>
          </a:pPr>
          <a:r>
            <a:rPr lang="de-DE" sz="1100"/>
            <a:t>Fair</a:t>
          </a:r>
          <a:r>
            <a:rPr lang="de-DE" sz="1100" baseline="0"/>
            <a:t> daily emissions = total greenhouse emissions / population</a:t>
          </a:r>
        </a:p>
        <a:p>
          <a:pPr marL="628650" lvl="1" indent="-171450">
            <a:buFont typeface="Arial" panose="020B0604020202020204" pitchFamily="34" charset="0"/>
            <a:buChar char="•"/>
          </a:pPr>
          <a:r>
            <a:rPr lang="de-DE" sz="1100"/>
            <a:t>Global greenhouse emissions (2018): 49,5 GtCO2e</a:t>
          </a:r>
          <a:r>
            <a:rPr lang="de-DE" sz="1100" baseline="0"/>
            <a:t> (based on 37,1 GtCO2 recorded by Global Carbon Porject (</a:t>
          </a:r>
          <a:r>
            <a:rPr lang="de-DE" sz="1100" u="sng" baseline="0"/>
            <a:t>https://www.globalcarbonproject.org</a:t>
          </a:r>
          <a:r>
            <a:rPr lang="de-DE" sz="1100" baseline="0"/>
            <a:t>/), and the fact that Co2 emissions make up 75% of the total GHG emissions (</a:t>
          </a:r>
          <a:r>
            <a:rPr lang="de-DE" sz="1100" u="sng" baseline="0"/>
            <a:t>https://www.epa.gov/global-mitigation-non-co2-greenhouse-gases/global-non-co2-greenhouse-gas-emission-projections</a:t>
          </a:r>
          <a:r>
            <a:rPr lang="de-DE" sz="1100" baseline="0"/>
            <a:t>))</a:t>
          </a:r>
        </a:p>
        <a:p>
          <a:pPr marL="628650" lvl="1" indent="-171450">
            <a:buFont typeface="Arial" panose="020B0604020202020204" pitchFamily="34" charset="0"/>
            <a:buChar char="•"/>
          </a:pPr>
          <a:r>
            <a:rPr lang="de-DE" sz="1100" baseline="0"/>
            <a:t>Population (2018): 7,6 billion people</a:t>
          </a:r>
        </a:p>
        <a:p>
          <a:pPr marL="628650" lvl="1" indent="-171450">
            <a:buFont typeface="Arial" panose="020B0604020202020204" pitchFamily="34" charset="0"/>
            <a:buChar char="•"/>
          </a:pPr>
          <a:r>
            <a:rPr lang="de-DE" sz="1100" baseline="0"/>
            <a:t>UN`s target of reducing emissions by 7,6% each year, the recommended annual footprint for 2020 is 5.561 kg CO2e/Year. </a:t>
          </a:r>
        </a:p>
        <a:p>
          <a:pPr marL="628650" lvl="1" indent="-171450">
            <a:buFont typeface="Arial" panose="020B0604020202020204" pitchFamily="34" charset="0"/>
            <a:buChar char="•"/>
          </a:pPr>
          <a:r>
            <a:rPr lang="de-DE" sz="1100" baseline="0">
              <a:solidFill>
                <a:schemeClr val="dk1"/>
              </a:solidFill>
              <a:effectLst/>
              <a:latin typeface="+mn-lt"/>
              <a:ea typeface="+mn-ea"/>
              <a:cs typeface="+mn-cs"/>
            </a:rPr>
            <a:t>Food contributes at least 20% of emissions (</a:t>
          </a:r>
          <a:r>
            <a:rPr lang="de-DE" sz="1100" u="sng" baseline="0">
              <a:solidFill>
                <a:schemeClr val="dk1"/>
              </a:solidFill>
              <a:effectLst/>
              <a:latin typeface="+mn-lt"/>
              <a:ea typeface="+mn-ea"/>
              <a:cs typeface="+mn-cs"/>
            </a:rPr>
            <a:t>https://appsso.eurostat.ec.europa.eu/nui/show.do?dataset=env_ac_io10&amp;lang=en</a:t>
          </a:r>
          <a:r>
            <a:rPr lang="de-DE" sz="1100" baseline="0">
              <a:solidFill>
                <a:schemeClr val="dk1"/>
              </a:solidFill>
              <a:effectLst/>
              <a:latin typeface="+mn-lt"/>
              <a:ea typeface="+mn-ea"/>
              <a:cs typeface="+mn-cs"/>
            </a:rPr>
            <a:t>)</a:t>
          </a:r>
          <a:endParaRPr lang="de-DE" sz="1100">
            <a:effectLst/>
          </a:endParaRPr>
        </a:p>
        <a:p>
          <a:pPr marL="628650" lvl="1" indent="-171450">
            <a:buFont typeface="Arial" panose="020B0604020202020204" pitchFamily="34" charset="0"/>
            <a:buChar char="•"/>
          </a:pPr>
          <a:r>
            <a:rPr lang="de-DE" sz="1100" baseline="0"/>
            <a:t>Globally fair daily food emissions: 3,05 kgCO2e/day</a:t>
          </a:r>
        </a:p>
        <a:p>
          <a:pPr marL="171450" lvl="0" indent="-171450">
            <a:buFont typeface="Arial" panose="020B0604020202020204" pitchFamily="34" charset="0"/>
            <a:buChar char="•"/>
          </a:pPr>
          <a:endParaRPr lang="de-DE" sz="1100"/>
        </a:p>
        <a:p>
          <a:pPr marL="0" lvl="0" indent="0">
            <a:buFont typeface="Arial" panose="020B0604020202020204" pitchFamily="34" charset="0"/>
            <a:buNone/>
          </a:pPr>
          <a:r>
            <a:rPr lang="de-DE" sz="1100" b="1" u="sng"/>
            <a:t>CO2e</a:t>
          </a:r>
          <a:r>
            <a:rPr lang="de-DE" sz="1100" b="1" u="sng" baseline="0"/>
            <a:t> = </a:t>
          </a:r>
          <a:r>
            <a:rPr lang="de-DE" sz="1100" b="1" u="sng"/>
            <a:t>carbon dioxide eqquivalents</a:t>
          </a:r>
        </a:p>
        <a:p>
          <a:pPr marL="171450" lvl="0" indent="-171450">
            <a:buFont typeface="Arial" panose="020B0604020202020204" pitchFamily="34" charset="0"/>
            <a:buChar char="•"/>
          </a:pPr>
          <a:r>
            <a:rPr lang="de-DE" sz="1100"/>
            <a:t>tells the total impact of a</a:t>
          </a:r>
          <a:r>
            <a:rPr lang="de-DE" sz="1100" baseline="0"/>
            <a:t> product based on all the greenhouse gas emissions (carbon dioxide, methane, nitrous oxide, etc.) released (https://ec.europa.eu/eurostat/statistics-explained/index.php?title=Glossary:Carbon_dioxide_equivalent)</a:t>
          </a:r>
        </a:p>
        <a:p>
          <a:pPr marL="171450" lvl="0" indent="-171450">
            <a:buFont typeface="Arial" panose="020B0604020202020204" pitchFamily="34" charset="0"/>
            <a:buChar char="•"/>
          </a:pPr>
          <a:endParaRPr lang="de-DE" sz="1100" baseline="0"/>
        </a:p>
        <a:p>
          <a:pPr marL="0" lvl="0" indent="0">
            <a:buFont typeface="Arial" panose="020B0604020202020204" pitchFamily="34" charset="0"/>
            <a:buNone/>
          </a:pPr>
          <a:r>
            <a:rPr lang="de-DE" sz="1100" b="1" u="sng" baseline="0"/>
            <a:t>My Emissions</a:t>
          </a:r>
        </a:p>
        <a:p>
          <a:pPr marL="171450" lvl="0" indent="-171450">
            <a:buFont typeface="Arial" panose="020B0604020202020204" pitchFamily="34" charset="0"/>
            <a:buChar char="•"/>
          </a:pPr>
          <a:r>
            <a:rPr lang="de-DE" sz="1100" baseline="0"/>
            <a:t>provides a food emissions database (global values and some location-specific values for UK)</a:t>
          </a:r>
        </a:p>
        <a:p>
          <a:pPr marL="171450" lvl="0" indent="-171450">
            <a:buFont typeface="Arial" panose="020B0604020202020204" pitchFamily="34" charset="0"/>
            <a:buChar char="•"/>
          </a:pPr>
          <a:r>
            <a:rPr lang="de-DE" sz="1100" baseline="0"/>
            <a:t>value for each food at the main stages of its life cycle</a:t>
          </a:r>
        </a:p>
        <a:p>
          <a:pPr marL="171450" lvl="0" indent="-171450">
            <a:buFont typeface="Arial" panose="020B0604020202020204" pitchFamily="34" charset="0"/>
            <a:buChar char="•"/>
          </a:pPr>
          <a:r>
            <a:rPr lang="de-DE" sz="1100" baseline="0"/>
            <a:t>take into account the process along the supply chain, including: farming, processing, packaging, transport</a:t>
          </a:r>
        </a:p>
        <a:p>
          <a:pPr marL="171450" lvl="0" indent="-171450">
            <a:buFont typeface="Arial" panose="020B0604020202020204" pitchFamily="34" charset="0"/>
            <a:buChar char="•"/>
          </a:pPr>
          <a:endParaRPr lang="de-DE" sz="1100"/>
        </a:p>
        <a:p>
          <a:pPr marL="171450" lvl="0" indent="-171450">
            <a:buFont typeface="Arial" panose="020B0604020202020204" pitchFamily="34" charset="0"/>
            <a:buChar char="•"/>
          </a:pP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umweltbundesamt.de/sites/default/files/medien/1410/publikationen/2020-12-21_methodenkonvention_3_1_kostensaetze.pdf" TargetMode="External"/><Relationship Id="rId2" Type="http://schemas.openxmlformats.org/officeDocument/2006/relationships/hyperlink" Target="https://www.umweltpakt.bayern.de/energie_klima/fachwissen/217/berechnung-co2-emissionen" TargetMode="External"/><Relationship Id="rId1" Type="http://schemas.openxmlformats.org/officeDocument/2006/relationships/hyperlink" Target="https://www.umweltbundesamt.de/sites/default/files/medien/1410/publikationen/2020-04-01_climate-change_13-2020_strommix_2020_fin.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umweltbundesamt.de/sites/default/files/medien/366/bilder/dateien/uba_emissionstabelle_personenverkehr_2019.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de.statista.com/statistik/daten/studie/39219/umfrage/co2-emission-bei-der-herstellung-ausgewaehlter-lebensmitt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F40A-D8CB-40D2-9397-796E36A7922D}">
  <dimension ref="A1:M81"/>
  <sheetViews>
    <sheetView tabSelected="1" zoomScaleNormal="100" workbookViewId="0">
      <pane ySplit="1" topLeftCell="A2" activePane="bottomLeft" state="frozen"/>
      <selection pane="bottomLeft" activeCell="J9" sqref="J9"/>
    </sheetView>
  </sheetViews>
  <sheetFormatPr baseColWidth="10" defaultRowHeight="15" x14ac:dyDescent="0.25"/>
  <cols>
    <col min="1" max="1" width="11.42578125" style="7"/>
    <col min="2" max="2" width="13.5703125" style="7" customWidth="1"/>
    <col min="3" max="3" width="9.42578125" style="7" bestFit="1" customWidth="1"/>
    <col min="4" max="4" width="16.140625" style="7" bestFit="1" customWidth="1"/>
    <col min="5" max="5" width="14.140625" style="7" bestFit="1" customWidth="1"/>
    <col min="6" max="6" width="13.42578125" style="7" bestFit="1" customWidth="1"/>
    <col min="7" max="7" width="8" style="7" bestFit="1" customWidth="1"/>
    <col min="8" max="8" width="9.42578125" style="7" bestFit="1" customWidth="1"/>
    <col min="9" max="9" width="11.42578125" style="3"/>
    <col min="10" max="10" width="14.140625" style="3" bestFit="1" customWidth="1"/>
  </cols>
  <sheetData>
    <row r="1" spans="1:10" x14ac:dyDescent="0.25">
      <c r="A1" s="174" t="s">
        <v>189</v>
      </c>
      <c r="B1" s="174" t="s">
        <v>181</v>
      </c>
      <c r="C1" s="175" t="s">
        <v>10</v>
      </c>
      <c r="D1" s="175" t="s">
        <v>11</v>
      </c>
      <c r="E1" s="175" t="s">
        <v>183</v>
      </c>
      <c r="F1" s="175" t="s">
        <v>184</v>
      </c>
      <c r="G1" s="175" t="s">
        <v>194</v>
      </c>
      <c r="H1" s="175" t="s">
        <v>169</v>
      </c>
      <c r="I1" s="176" t="s">
        <v>237</v>
      </c>
      <c r="J1" s="176" t="s">
        <v>238</v>
      </c>
    </row>
    <row r="2" spans="1:10" x14ac:dyDescent="0.25">
      <c r="A2" s="7" t="s">
        <v>182</v>
      </c>
      <c r="B2" s="7" t="s">
        <v>33</v>
      </c>
      <c r="C2" s="7">
        <v>100</v>
      </c>
      <c r="D2" s="7">
        <v>76</v>
      </c>
      <c r="E2" s="75">
        <f>D2/Berechnung!$D$30*100</f>
        <v>2.9214399883139666</v>
      </c>
      <c r="F2" s="75">
        <f>D2/Berechnung!$C$12</f>
        <v>4.0598290598290605</v>
      </c>
      <c r="G2" s="75">
        <f>D2/Berechnung!$B$35</f>
        <v>0.35250463821892392</v>
      </c>
      <c r="H2" s="75">
        <f>Berechnung!$B$16/1000000*D2</f>
        <v>1.5124E-2</v>
      </c>
      <c r="I2" s="3">
        <v>325</v>
      </c>
    </row>
    <row r="3" spans="1:10" x14ac:dyDescent="0.25">
      <c r="A3" s="7" t="s">
        <v>182</v>
      </c>
      <c r="B3" s="7" t="s">
        <v>34</v>
      </c>
      <c r="C3" s="7">
        <v>100</v>
      </c>
      <c r="D3" s="7">
        <v>85</v>
      </c>
      <c r="E3" s="75">
        <f>D3/Berechnung!$D$30*100</f>
        <v>3.2673999869300947</v>
      </c>
      <c r="F3" s="75">
        <f>D3/Berechnung!$C$12</f>
        <v>4.5405982905982905</v>
      </c>
      <c r="G3" s="75">
        <f>D3/Berechnung!$B$35</f>
        <v>0.39424860853432281</v>
      </c>
      <c r="H3" s="75">
        <f>Berechnung!$B$16/1000000*D3</f>
        <v>1.6914999999999999E-2</v>
      </c>
      <c r="I3" s="3">
        <v>141</v>
      </c>
      <c r="J3" s="3">
        <v>275</v>
      </c>
    </row>
    <row r="4" spans="1:10" x14ac:dyDescent="0.25">
      <c r="A4" s="7" t="s">
        <v>182</v>
      </c>
      <c r="B4" s="7" t="s">
        <v>36</v>
      </c>
      <c r="C4" s="7">
        <v>100</v>
      </c>
      <c r="D4" s="7">
        <v>244</v>
      </c>
      <c r="E4" s="75">
        <f>D4/Berechnung!$D$30*100</f>
        <v>9.3793599624816828</v>
      </c>
      <c r="F4" s="75">
        <f>D4/Berechnung!$C$12</f>
        <v>13.034188034188036</v>
      </c>
      <c r="G4" s="75">
        <f>D4/Berechnung!$B$35</f>
        <v>1.1317254174397031</v>
      </c>
      <c r="H4" s="75">
        <f>Berechnung!$B$16/1000000*D4</f>
        <v>4.8556000000000002E-2</v>
      </c>
      <c r="I4" s="3">
        <v>341</v>
      </c>
      <c r="J4" s="3">
        <v>345</v>
      </c>
    </row>
    <row r="5" spans="1:10" x14ac:dyDescent="0.25">
      <c r="A5" s="7" t="s">
        <v>182</v>
      </c>
      <c r="B5" s="12" t="s">
        <v>37</v>
      </c>
      <c r="C5" s="12">
        <v>100</v>
      </c>
      <c r="D5" s="12">
        <v>67</v>
      </c>
      <c r="E5" s="75">
        <f>D5/Berechnung!$D$30*100</f>
        <v>2.5754799896978389</v>
      </c>
      <c r="F5" s="108">
        <f>D5/Berechnung!$C$12</f>
        <v>3.5790598290598292</v>
      </c>
      <c r="G5" s="75">
        <f>D5/Berechnung!$B$35</f>
        <v>0.31076066790352508</v>
      </c>
      <c r="H5" s="108">
        <f>Berechnung!$B$16/1000000*D5</f>
        <v>1.3333000000000001E-2</v>
      </c>
      <c r="I5" s="3">
        <v>309</v>
      </c>
      <c r="J5" s="3">
        <v>314</v>
      </c>
    </row>
    <row r="6" spans="1:10" x14ac:dyDescent="0.25">
      <c r="A6" s="7" t="s">
        <v>182</v>
      </c>
      <c r="B6" s="7" t="s">
        <v>39</v>
      </c>
      <c r="C6" s="7">
        <v>100</v>
      </c>
      <c r="D6" s="7">
        <v>79</v>
      </c>
      <c r="E6" s="75">
        <f>D6/Berechnung!$D$30*100</f>
        <v>3.0367599878526756</v>
      </c>
      <c r="F6" s="75">
        <f>D6/Berechnung!$C$12</f>
        <v>4.2200854700854702</v>
      </c>
      <c r="G6" s="75">
        <f>D6/Berechnung!$B$35</f>
        <v>0.36641929499072357</v>
      </c>
      <c r="H6" s="75">
        <f>Berechnung!$B$16/1000000*D6</f>
        <v>1.5721000000000002E-2</v>
      </c>
      <c r="I6" s="3">
        <v>354</v>
      </c>
      <c r="J6" s="3">
        <v>366</v>
      </c>
    </row>
    <row r="7" spans="1:10" x14ac:dyDescent="0.25">
      <c r="A7" s="7" t="s">
        <v>182</v>
      </c>
      <c r="B7" s="7" t="s">
        <v>40</v>
      </c>
      <c r="C7" s="7">
        <v>100</v>
      </c>
      <c r="D7" s="7">
        <v>137</v>
      </c>
      <c r="E7" s="75">
        <f>D7/Berechnung!$D$30*100</f>
        <v>5.2662799789343868</v>
      </c>
      <c r="F7" s="75">
        <f>D7/Berechnung!$C$12</f>
        <v>7.318376068376069</v>
      </c>
      <c r="G7" s="75">
        <f>D7/Berechnung!$B$35</f>
        <v>0.63543599257884975</v>
      </c>
      <c r="H7" s="75">
        <f>Berechnung!$B$16/1000000*D7</f>
        <v>2.7263000000000003E-2</v>
      </c>
      <c r="I7" s="3">
        <v>348</v>
      </c>
      <c r="J7" s="3">
        <v>352</v>
      </c>
    </row>
    <row r="8" spans="1:10" x14ac:dyDescent="0.25">
      <c r="A8" s="7" t="s">
        <v>182</v>
      </c>
      <c r="B8" s="7" t="s">
        <v>41</v>
      </c>
      <c r="C8" s="7">
        <v>100</v>
      </c>
      <c r="D8" s="7">
        <v>82</v>
      </c>
      <c r="E8" s="75">
        <f>D8/Berechnung!$D$30*100</f>
        <v>3.1520799873913852</v>
      </c>
      <c r="F8" s="75">
        <f>D8/Berechnung!$C$12</f>
        <v>4.3803418803418808</v>
      </c>
      <c r="G8" s="75">
        <f>D8/Berechnung!$B$35</f>
        <v>0.38033395176252321</v>
      </c>
      <c r="H8" s="75">
        <f>Berechnung!$B$16/1000000*D8</f>
        <v>1.6318000000000003E-2</v>
      </c>
      <c r="I8" s="3">
        <v>355</v>
      </c>
      <c r="J8" s="3">
        <v>392</v>
      </c>
    </row>
    <row r="9" spans="1:10" x14ac:dyDescent="0.25">
      <c r="A9" s="7" t="s">
        <v>182</v>
      </c>
      <c r="B9" s="7" t="s">
        <v>42</v>
      </c>
      <c r="C9" s="7">
        <v>100</v>
      </c>
      <c r="D9" s="7">
        <v>135</v>
      </c>
      <c r="E9" s="75">
        <f>D9/Berechnung!$D$30*100</f>
        <v>5.189399979241915</v>
      </c>
      <c r="F9" s="75">
        <f>D9/Berechnung!$C$12</f>
        <v>7.2115384615384617</v>
      </c>
      <c r="G9" s="75">
        <f>D9/Berechnung!$B$35</f>
        <v>0.62615955473098328</v>
      </c>
      <c r="H9" s="75">
        <f>Berechnung!$B$16/1000000*D9</f>
        <v>2.6865E-2</v>
      </c>
      <c r="I9" s="3">
        <v>351</v>
      </c>
    </row>
    <row r="10" spans="1:10" x14ac:dyDescent="0.25">
      <c r="A10" s="7" t="s">
        <v>78</v>
      </c>
      <c r="B10" s="7" t="s">
        <v>55</v>
      </c>
      <c r="C10" s="7">
        <v>100</v>
      </c>
      <c r="D10" s="7">
        <v>703</v>
      </c>
      <c r="E10" s="75">
        <f>D10/Berechnung!$D$30*100</f>
        <v>27.02331989190419</v>
      </c>
      <c r="F10" s="75">
        <f>D10/Berechnung!$C$12</f>
        <v>37.553418803418808</v>
      </c>
      <c r="G10" s="75">
        <f>D10/Berechnung!$B$35</f>
        <v>3.2606679035250465</v>
      </c>
      <c r="H10" s="75">
        <f>Berechnung!$B$16/1000000*D10</f>
        <v>0.13989700000000002</v>
      </c>
      <c r="I10" s="3">
        <v>18</v>
      </c>
      <c r="J10" s="3">
        <v>20</v>
      </c>
    </row>
    <row r="11" spans="1:10" x14ac:dyDescent="0.25">
      <c r="A11" s="7" t="s">
        <v>78</v>
      </c>
      <c r="B11" s="7" t="s">
        <v>56</v>
      </c>
      <c r="C11" s="7">
        <v>100</v>
      </c>
      <c r="D11" s="7">
        <v>310</v>
      </c>
      <c r="E11" s="75">
        <f>D11/Berechnung!$D$30*100</f>
        <v>11.916399952333286</v>
      </c>
      <c r="F11" s="75">
        <f>D11/Berechnung!$C$12</f>
        <v>16.55982905982906</v>
      </c>
      <c r="G11" s="75">
        <f>D11/Berechnung!$B$35</f>
        <v>1.4378478664192951</v>
      </c>
      <c r="H11" s="75">
        <f>Berechnung!$B$16/1000000*D11</f>
        <v>6.1690000000000002E-2</v>
      </c>
      <c r="I11" s="3">
        <v>17</v>
      </c>
      <c r="J11" s="3">
        <v>24</v>
      </c>
    </row>
    <row r="12" spans="1:10" x14ac:dyDescent="0.25">
      <c r="A12" s="7" t="s">
        <v>78</v>
      </c>
      <c r="B12" s="7" t="s">
        <v>57</v>
      </c>
      <c r="C12" s="7">
        <v>100</v>
      </c>
      <c r="D12" s="7">
        <v>114</v>
      </c>
      <c r="E12" s="75">
        <f>D12/Berechnung!$D$30*100</f>
        <v>4.3821599824709496</v>
      </c>
      <c r="F12" s="75">
        <f>D12/Berechnung!$C$12</f>
        <v>6.0897435897435903</v>
      </c>
      <c r="G12" s="75">
        <f>D12/Berechnung!$B$35</f>
        <v>0.5287569573283859</v>
      </c>
      <c r="H12" s="75">
        <f>Berechnung!$B$16/1000000*D12</f>
        <v>2.2686000000000001E-2</v>
      </c>
      <c r="I12" s="3">
        <v>40</v>
      </c>
      <c r="J12" s="3">
        <v>22</v>
      </c>
    </row>
    <row r="13" spans="1:10" x14ac:dyDescent="0.25">
      <c r="A13" s="7" t="s">
        <v>78</v>
      </c>
      <c r="B13" s="7" t="s">
        <v>58</v>
      </c>
      <c r="C13" s="7">
        <v>100</v>
      </c>
      <c r="D13" s="7">
        <v>108</v>
      </c>
      <c r="E13" s="75">
        <f>D13/Berechnung!$D$30*100</f>
        <v>4.1515199833935315</v>
      </c>
      <c r="F13" s="75">
        <f>D13/Berechnung!$C$12</f>
        <v>5.7692307692307692</v>
      </c>
      <c r="G13" s="75">
        <f>D13/Berechnung!$B$35</f>
        <v>0.5009276437847866</v>
      </c>
      <c r="H13" s="75">
        <f>Berechnung!$B$16/1000000*D13</f>
        <v>2.1492000000000001E-2</v>
      </c>
      <c r="I13" s="3">
        <v>28</v>
      </c>
      <c r="J13" s="3">
        <v>34</v>
      </c>
    </row>
    <row r="14" spans="1:10" x14ac:dyDescent="0.25">
      <c r="A14" s="7" t="s">
        <v>78</v>
      </c>
      <c r="B14" s="7" t="s">
        <v>59</v>
      </c>
      <c r="C14" s="7">
        <v>100</v>
      </c>
      <c r="D14" s="7">
        <v>62</v>
      </c>
      <c r="E14" s="75">
        <f>D14/Berechnung!$D$30*100</f>
        <v>2.3832799904666571</v>
      </c>
      <c r="F14" s="75">
        <f>D14/Berechnung!$C$12</f>
        <v>3.3119658119658122</v>
      </c>
      <c r="G14" s="75">
        <f>D14/Berechnung!$B$35</f>
        <v>0.28756957328385901</v>
      </c>
      <c r="H14" s="75">
        <f>Berechnung!$B$16/1000000*D14</f>
        <v>1.2338E-2</v>
      </c>
      <c r="I14" s="3">
        <v>25</v>
      </c>
      <c r="J14" s="3">
        <v>25</v>
      </c>
    </row>
    <row r="15" spans="1:10" x14ac:dyDescent="0.25">
      <c r="A15" s="7" t="s">
        <v>78</v>
      </c>
      <c r="B15" s="7" t="s">
        <v>60</v>
      </c>
      <c r="C15" s="7">
        <v>100</v>
      </c>
      <c r="D15" s="7">
        <v>113</v>
      </c>
      <c r="E15" s="75">
        <f>D15/Berechnung!$D$30*100</f>
        <v>4.3437199826247133</v>
      </c>
      <c r="F15" s="75">
        <f>D15/Berechnung!$C$12</f>
        <v>6.0363247863247871</v>
      </c>
      <c r="G15" s="75">
        <f>D15/Berechnung!$B$35</f>
        <v>0.52411873840445267</v>
      </c>
      <c r="H15" s="75">
        <f>Berechnung!$B$16/1000000*D15</f>
        <v>2.2487E-2</v>
      </c>
      <c r="I15" s="3">
        <v>33</v>
      </c>
      <c r="J15" s="3">
        <v>26</v>
      </c>
    </row>
    <row r="16" spans="1:10" x14ac:dyDescent="0.25">
      <c r="A16" s="7" t="s">
        <v>78</v>
      </c>
      <c r="B16" s="7" t="s">
        <v>61</v>
      </c>
      <c r="C16" s="7">
        <v>100</v>
      </c>
      <c r="D16" s="7">
        <v>97</v>
      </c>
      <c r="E16" s="75">
        <f>D16/Berechnung!$D$30*100</f>
        <v>3.728679985084931</v>
      </c>
      <c r="F16" s="75">
        <f>D16/Berechnung!$C$12</f>
        <v>5.1816239316239319</v>
      </c>
      <c r="G16" s="75">
        <f>D16/Berechnung!$B$35</f>
        <v>0.44990723562152135</v>
      </c>
      <c r="H16" s="75">
        <f>Berechnung!$B$16/1000000*D16</f>
        <v>1.9303000000000001E-2</v>
      </c>
      <c r="I16" s="3">
        <v>23</v>
      </c>
      <c r="J16" s="3">
        <v>25</v>
      </c>
    </row>
    <row r="17" spans="1:10" x14ac:dyDescent="0.25">
      <c r="A17" s="7" t="s">
        <v>78</v>
      </c>
      <c r="B17" s="7" t="s">
        <v>35</v>
      </c>
      <c r="C17" s="7">
        <v>100</v>
      </c>
      <c r="D17" s="7">
        <v>41</v>
      </c>
      <c r="E17" s="75">
        <f>D17/Berechnung!$D$30*100</f>
        <v>1.5760399936956926</v>
      </c>
      <c r="F17" s="75">
        <f>D17/Berechnung!$C$12</f>
        <v>2.1901709401709404</v>
      </c>
      <c r="G17" s="75">
        <f>D17/Berechnung!$B$35</f>
        <v>0.19016697588126161</v>
      </c>
      <c r="H17" s="75">
        <f>Berechnung!$B$16/1000000*D17</f>
        <v>8.1590000000000013E-3</v>
      </c>
      <c r="I17" s="3">
        <v>89</v>
      </c>
      <c r="J17" s="3">
        <v>86</v>
      </c>
    </row>
    <row r="18" spans="1:10" x14ac:dyDescent="0.25">
      <c r="A18" s="7" t="s">
        <v>78</v>
      </c>
      <c r="B18" s="7" t="s">
        <v>62</v>
      </c>
      <c r="C18" s="7">
        <v>100</v>
      </c>
      <c r="D18" s="7">
        <v>193</v>
      </c>
      <c r="E18" s="75">
        <f>D18/Berechnung!$D$30*100</f>
        <v>7.4189199703236257</v>
      </c>
      <c r="F18" s="75">
        <f>D18/Berechnung!$C$12</f>
        <v>10.30982905982906</v>
      </c>
      <c r="G18" s="75">
        <f>D18/Berechnung!$B$35</f>
        <v>0.89517625231910947</v>
      </c>
      <c r="H18" s="75">
        <f>Berechnung!$B$16/1000000*D18</f>
        <v>3.8407000000000004E-2</v>
      </c>
      <c r="I18" s="3">
        <v>12</v>
      </c>
      <c r="J18" s="3">
        <v>15</v>
      </c>
    </row>
    <row r="19" spans="1:10" x14ac:dyDescent="0.25">
      <c r="A19" s="7" t="s">
        <v>78</v>
      </c>
      <c r="B19" s="7" t="s">
        <v>63</v>
      </c>
      <c r="C19" s="7">
        <v>100</v>
      </c>
      <c r="D19" s="7">
        <v>45</v>
      </c>
      <c r="E19" s="75">
        <f>D19/Berechnung!$D$30*100</f>
        <v>1.729799993080638</v>
      </c>
      <c r="F19" s="75">
        <f>D19/Berechnung!$C$12</f>
        <v>2.4038461538461542</v>
      </c>
      <c r="G19" s="75">
        <f>D19/Berechnung!$B$35</f>
        <v>0.20871985157699444</v>
      </c>
      <c r="H19" s="75">
        <f>Berechnung!$B$16/1000000*D19</f>
        <v>8.9550000000000012E-3</v>
      </c>
      <c r="I19" s="3">
        <v>142</v>
      </c>
      <c r="J19" s="3">
        <v>149</v>
      </c>
    </row>
    <row r="20" spans="1:10" x14ac:dyDescent="0.25">
      <c r="A20" s="7" t="s">
        <v>78</v>
      </c>
      <c r="B20" s="7" t="s">
        <v>65</v>
      </c>
      <c r="C20" s="7">
        <v>100</v>
      </c>
      <c r="D20" s="7">
        <v>467</v>
      </c>
      <c r="E20" s="75">
        <f>D20/Berechnung!$D$30*100</f>
        <v>17.951479928192402</v>
      </c>
      <c r="F20" s="75">
        <f>D20/Berechnung!$C$12</f>
        <v>24.946581196581199</v>
      </c>
      <c r="G20" s="75">
        <f>D20/Berechnung!$B$35</f>
        <v>2.1660482374768089</v>
      </c>
      <c r="H20" s="75">
        <f>Berechnung!$B$16/1000000*D20</f>
        <v>9.2933000000000002E-2</v>
      </c>
      <c r="I20" s="3">
        <v>33</v>
      </c>
      <c r="J20" s="3">
        <v>31</v>
      </c>
    </row>
    <row r="21" spans="1:10" x14ac:dyDescent="0.25">
      <c r="A21" s="7" t="s">
        <v>78</v>
      </c>
      <c r="B21" s="7" t="s">
        <v>66</v>
      </c>
      <c r="C21" s="7">
        <v>100</v>
      </c>
      <c r="D21" s="7">
        <v>161</v>
      </c>
      <c r="E21" s="75">
        <f>D21/Berechnung!$D$30*100</f>
        <v>6.1888399752440604</v>
      </c>
      <c r="F21" s="75">
        <f>D21/Berechnung!$C$12</f>
        <v>8.600427350427351</v>
      </c>
      <c r="G21" s="75">
        <f>D21/Berechnung!$B$35</f>
        <v>0.74675324675324672</v>
      </c>
      <c r="H21" s="75">
        <f>Berechnung!$B$16/1000000*D21</f>
        <v>3.2039000000000005E-2</v>
      </c>
      <c r="I21" s="3">
        <v>11</v>
      </c>
      <c r="J21" s="3">
        <v>14</v>
      </c>
    </row>
    <row r="22" spans="1:10" x14ac:dyDescent="0.25">
      <c r="A22" s="7" t="s">
        <v>78</v>
      </c>
      <c r="B22" s="7" t="s">
        <v>67</v>
      </c>
      <c r="C22" s="7">
        <v>100</v>
      </c>
      <c r="D22" s="7">
        <v>140</v>
      </c>
      <c r="E22" s="75">
        <f>D22/Berechnung!$D$30*100</f>
        <v>5.3815999784730968</v>
      </c>
      <c r="F22" s="75">
        <f>D22/Berechnung!$C$12</f>
        <v>7.4786324786324787</v>
      </c>
      <c r="G22" s="75">
        <f>D22/Berechnung!$B$35</f>
        <v>0.64935064935064934</v>
      </c>
      <c r="H22" s="75">
        <f>Berechnung!$B$16/1000000*D22</f>
        <v>2.7860000000000003E-2</v>
      </c>
      <c r="I22" s="3">
        <v>21</v>
      </c>
      <c r="J22" s="3">
        <v>22</v>
      </c>
    </row>
    <row r="23" spans="1:10" x14ac:dyDescent="0.25">
      <c r="A23" s="7" t="s">
        <v>78</v>
      </c>
      <c r="B23" s="7" t="s">
        <v>68</v>
      </c>
      <c r="C23" s="7">
        <v>100</v>
      </c>
      <c r="D23" s="7">
        <v>105</v>
      </c>
      <c r="E23" s="75">
        <f>D23/Berechnung!$D$30*100</f>
        <v>4.0361999838548224</v>
      </c>
      <c r="F23" s="75">
        <f>D23/Berechnung!$C$12</f>
        <v>5.6089743589743595</v>
      </c>
      <c r="G23" s="75">
        <f>D23/Berechnung!$B$35</f>
        <v>0.48701298701298701</v>
      </c>
      <c r="H23" s="75">
        <f>Berechnung!$B$16/1000000*D23</f>
        <v>2.0895E-2</v>
      </c>
      <c r="I23" s="3">
        <v>28</v>
      </c>
      <c r="J23" s="3">
        <v>40</v>
      </c>
    </row>
    <row r="24" spans="1:10" x14ac:dyDescent="0.25">
      <c r="A24" s="7" t="s">
        <v>78</v>
      </c>
      <c r="B24" s="7" t="s">
        <v>69</v>
      </c>
      <c r="C24" s="7">
        <v>100</v>
      </c>
      <c r="D24" s="7">
        <v>423</v>
      </c>
      <c r="E24" s="75">
        <f>D24/Berechnung!$D$30*100</f>
        <v>16.260119934957999</v>
      </c>
      <c r="F24" s="75">
        <f>D24/Berechnung!$C$12</f>
        <v>22.596153846153847</v>
      </c>
      <c r="G24" s="75">
        <f>D24/Berechnung!$B$35</f>
        <v>1.9619666048237476</v>
      </c>
      <c r="H24" s="75">
        <f>Berechnung!$B$16/1000000*D24</f>
        <v>8.4177000000000002E-2</v>
      </c>
      <c r="I24" s="3">
        <v>278</v>
      </c>
      <c r="J24" s="3">
        <v>42</v>
      </c>
    </row>
    <row r="25" spans="1:10" x14ac:dyDescent="0.25">
      <c r="A25" s="7" t="s">
        <v>78</v>
      </c>
      <c r="B25" s="7" t="s">
        <v>70</v>
      </c>
      <c r="C25" s="7">
        <v>100</v>
      </c>
      <c r="D25" s="7">
        <v>202</v>
      </c>
      <c r="E25" s="75">
        <f>D25/Berechnung!$D$30*100</f>
        <v>7.764879968939753</v>
      </c>
      <c r="F25" s="75">
        <f>D25/Berechnung!$C$12</f>
        <v>10.790598290598291</v>
      </c>
      <c r="G25" s="75">
        <f>D25/Berechnung!$B$35</f>
        <v>0.93692022263450836</v>
      </c>
      <c r="H25" s="75">
        <f>Berechnung!$B$16/1000000*D25</f>
        <v>4.0198000000000005E-2</v>
      </c>
      <c r="I25" s="3">
        <v>37</v>
      </c>
      <c r="J25" s="3">
        <v>21</v>
      </c>
    </row>
    <row r="26" spans="1:10" x14ac:dyDescent="0.25">
      <c r="A26" s="7" t="s">
        <v>78</v>
      </c>
      <c r="B26" s="7" t="s">
        <v>54</v>
      </c>
      <c r="C26" s="7">
        <v>100</v>
      </c>
      <c r="D26" s="7">
        <v>127</v>
      </c>
      <c r="E26" s="75">
        <f>D26/Berechnung!$D$30*100</f>
        <v>4.8818799804720232</v>
      </c>
      <c r="F26" s="75">
        <f>D26/Berechnung!$C$12</f>
        <v>6.784188034188035</v>
      </c>
      <c r="G26" s="75">
        <f>D26/Berechnung!$B$35</f>
        <v>0.58905380333951762</v>
      </c>
      <c r="H26" s="75">
        <f>Berechnung!$B$16/1000000*D26</f>
        <v>2.5273E-2</v>
      </c>
      <c r="I26" s="3">
        <v>73</v>
      </c>
      <c r="J26" s="3">
        <v>77</v>
      </c>
    </row>
    <row r="27" spans="1:10" x14ac:dyDescent="0.25">
      <c r="A27" s="7" t="s">
        <v>78</v>
      </c>
      <c r="B27" s="7" t="s">
        <v>71</v>
      </c>
      <c r="C27" s="7">
        <v>100</v>
      </c>
      <c r="D27" s="7">
        <v>146</v>
      </c>
      <c r="E27" s="75">
        <f>D27/Berechnung!$D$30*100</f>
        <v>5.612239977550515</v>
      </c>
      <c r="F27" s="75">
        <f>D27/Berechnung!$C$12</f>
        <v>7.7991452991452999</v>
      </c>
      <c r="G27" s="75">
        <f>D27/Berechnung!$B$35</f>
        <v>0.67717996289424864</v>
      </c>
      <c r="H27" s="75">
        <f>Berechnung!$B$16/1000000*D27</f>
        <v>2.9054000000000003E-2</v>
      </c>
      <c r="I27" s="3">
        <v>19</v>
      </c>
      <c r="J27" s="3">
        <v>23</v>
      </c>
    </row>
    <row r="28" spans="1:10" x14ac:dyDescent="0.25">
      <c r="A28" s="7" t="s">
        <v>78</v>
      </c>
      <c r="B28" s="7" t="s">
        <v>72</v>
      </c>
      <c r="C28" s="7">
        <v>100</v>
      </c>
      <c r="D28" s="7">
        <v>105</v>
      </c>
      <c r="E28" s="75">
        <f>D28/Berechnung!$D$30*100</f>
        <v>4.0361999838548224</v>
      </c>
      <c r="F28" s="75">
        <f>D28/Berechnung!$C$12</f>
        <v>5.6089743589743595</v>
      </c>
      <c r="G28" s="75">
        <f>D28/Berechnung!$B$35</f>
        <v>0.48701298701298701</v>
      </c>
      <c r="H28" s="75">
        <f>Berechnung!$B$16/1000000*D28</f>
        <v>2.0895E-2</v>
      </c>
    </row>
    <row r="29" spans="1:10" x14ac:dyDescent="0.25">
      <c r="A29" s="7" t="s">
        <v>78</v>
      </c>
      <c r="B29" s="7" t="s">
        <v>53</v>
      </c>
      <c r="C29" s="7">
        <v>100</v>
      </c>
      <c r="D29" s="7">
        <v>127</v>
      </c>
      <c r="E29" s="75">
        <f>D29/Berechnung!$D$30*100</f>
        <v>4.8818799804720232</v>
      </c>
      <c r="F29" s="75">
        <f>D29/Berechnung!$C$12</f>
        <v>6.784188034188035</v>
      </c>
      <c r="G29" s="75">
        <f>D29/Berechnung!$B$35</f>
        <v>0.58905380333951762</v>
      </c>
      <c r="H29" s="75">
        <f>Berechnung!$B$16/1000000*D29</f>
        <v>2.5273E-2</v>
      </c>
      <c r="J29" s="3">
        <v>108</v>
      </c>
    </row>
    <row r="30" spans="1:10" x14ac:dyDescent="0.25">
      <c r="A30" s="7" t="s">
        <v>78</v>
      </c>
      <c r="B30" s="12" t="s">
        <v>28</v>
      </c>
      <c r="C30" s="12">
        <v>100</v>
      </c>
      <c r="D30" s="12">
        <v>291</v>
      </c>
      <c r="E30" s="75">
        <f>D30/Berechnung!$D$30*100</f>
        <v>11.186039955254794</v>
      </c>
      <c r="F30" s="75">
        <f>D30/Berechnung!$C$12</f>
        <v>15.544871794871796</v>
      </c>
      <c r="G30" s="75">
        <f>D30/Berechnung!$B$35</f>
        <v>1.3497217068645639</v>
      </c>
      <c r="H30" s="75">
        <f>Berechnung!$B$16/1000000*D30</f>
        <v>5.7909000000000002E-2</v>
      </c>
      <c r="I30" s="3">
        <v>17</v>
      </c>
      <c r="J30" s="3">
        <v>17</v>
      </c>
    </row>
    <row r="31" spans="1:10" x14ac:dyDescent="0.25">
      <c r="A31" s="7" t="s">
        <v>190</v>
      </c>
      <c r="B31" s="7" t="s">
        <v>12</v>
      </c>
      <c r="C31" s="7">
        <v>100</v>
      </c>
      <c r="D31" s="7">
        <v>976</v>
      </c>
      <c r="E31" s="75">
        <f>D31/Berechnung!$D$30*100</f>
        <v>37.517439849926731</v>
      </c>
      <c r="F31" s="75">
        <f>D31/Berechnung!$C$12</f>
        <v>52.136752136752143</v>
      </c>
      <c r="G31" s="75">
        <f>D31/Berechnung!$B$35</f>
        <v>4.5269016697588125</v>
      </c>
      <c r="H31" s="75">
        <f>Berechnung!$B$16/1000000*D31</f>
        <v>0.19422400000000001</v>
      </c>
      <c r="I31" s="3">
        <v>741</v>
      </c>
      <c r="J31" s="3">
        <v>744</v>
      </c>
    </row>
    <row r="32" spans="1:10" x14ac:dyDescent="0.25">
      <c r="A32" s="7" t="s">
        <v>190</v>
      </c>
      <c r="B32" s="7" t="s">
        <v>13</v>
      </c>
      <c r="C32" s="7">
        <v>100</v>
      </c>
      <c r="D32" s="7">
        <v>110</v>
      </c>
      <c r="E32" s="75">
        <f>D32/Berechnung!$D$30*100</f>
        <v>4.2283999830860042</v>
      </c>
      <c r="F32" s="75">
        <f>D32/Berechnung!$C$12</f>
        <v>5.8760683760683765</v>
      </c>
      <c r="G32" s="75">
        <f>D32/Berechnung!$B$35</f>
        <v>0.51020408163265307</v>
      </c>
      <c r="H32" s="75">
        <f>Berechnung!$B$16/1000000*D32</f>
        <v>2.189E-2</v>
      </c>
      <c r="I32" s="3">
        <v>37</v>
      </c>
      <c r="J32" s="3">
        <v>38</v>
      </c>
    </row>
    <row r="33" spans="1:10" x14ac:dyDescent="0.25">
      <c r="A33" s="7" t="s">
        <v>190</v>
      </c>
      <c r="B33" s="7" t="s">
        <v>14</v>
      </c>
      <c r="C33" s="7">
        <v>100</v>
      </c>
      <c r="D33" s="7">
        <v>879</v>
      </c>
      <c r="E33" s="75">
        <f>D33/Berechnung!$D$30*100</f>
        <v>33.788759864841801</v>
      </c>
      <c r="F33" s="75">
        <f>D33/Berechnung!$C$12</f>
        <v>46.955128205128212</v>
      </c>
      <c r="G33" s="75">
        <f>D33/Berechnung!$B$35</f>
        <v>4.0769944341372915</v>
      </c>
      <c r="H33" s="75">
        <f>Berechnung!$B$16/1000000*D33</f>
        <v>0.17492100000000002</v>
      </c>
      <c r="I33" s="3">
        <v>378</v>
      </c>
      <c r="J33" s="3">
        <v>364</v>
      </c>
    </row>
    <row r="34" spans="1:10" x14ac:dyDescent="0.25">
      <c r="A34" s="7" t="s">
        <v>190</v>
      </c>
      <c r="B34" s="7" t="s">
        <v>20</v>
      </c>
      <c r="C34" s="7">
        <v>100</v>
      </c>
      <c r="D34" s="7">
        <v>451</v>
      </c>
      <c r="E34" s="75">
        <f>D34/Berechnung!$D$30*100</f>
        <v>17.336439930652617</v>
      </c>
      <c r="F34" s="75">
        <f>D34/Berechnung!$C$12</f>
        <v>24.091880341880344</v>
      </c>
      <c r="G34" s="75">
        <f>D34/Berechnung!$B$35</f>
        <v>2.0918367346938775</v>
      </c>
      <c r="H34" s="75">
        <f>Berechnung!$B$16/1000000*D34</f>
        <v>8.9749000000000009E-2</v>
      </c>
      <c r="I34" s="3">
        <v>137</v>
      </c>
      <c r="J34" s="3">
        <v>161</v>
      </c>
    </row>
    <row r="35" spans="1:10" x14ac:dyDescent="0.25">
      <c r="A35" s="7" t="s">
        <v>190</v>
      </c>
      <c r="B35" s="7" t="s">
        <v>15</v>
      </c>
      <c r="C35" s="7">
        <v>100</v>
      </c>
      <c r="D35" s="7">
        <v>176</v>
      </c>
      <c r="E35" s="75">
        <f>D35/Berechnung!$D$30*100</f>
        <v>6.7654399729376067</v>
      </c>
      <c r="F35" s="75">
        <f>D35/Berechnung!$C$12</f>
        <v>9.4017094017094021</v>
      </c>
      <c r="G35" s="75">
        <f>D35/Berechnung!$B$35</f>
        <v>0.81632653061224492</v>
      </c>
      <c r="H35" s="75">
        <f>Berechnung!$B$16/1000000*D35</f>
        <v>3.5024E-2</v>
      </c>
      <c r="I35" s="3">
        <v>48</v>
      </c>
      <c r="J35" s="3">
        <v>46</v>
      </c>
    </row>
    <row r="36" spans="1:10" x14ac:dyDescent="0.25">
      <c r="A36" s="7" t="s">
        <v>190</v>
      </c>
      <c r="B36" s="7" t="s">
        <v>17</v>
      </c>
      <c r="C36" s="7">
        <v>100</v>
      </c>
      <c r="D36" s="7">
        <v>250</v>
      </c>
      <c r="E36" s="75">
        <f>D36/Berechnung!$D$30*100</f>
        <v>9.609999961559101</v>
      </c>
      <c r="F36" s="75">
        <f>D36/Berechnung!$C$12</f>
        <v>13.354700854700855</v>
      </c>
      <c r="G36" s="75">
        <f>D36/Berechnung!$B$35</f>
        <v>1.1595547309833025</v>
      </c>
      <c r="H36" s="75">
        <f>Berechnung!$B$16/1000000*D36</f>
        <v>4.9750000000000003E-2</v>
      </c>
      <c r="I36" s="3">
        <v>187</v>
      </c>
      <c r="J36" s="3">
        <v>115</v>
      </c>
    </row>
    <row r="37" spans="1:10" x14ac:dyDescent="0.25">
      <c r="A37" s="7" t="s">
        <v>190</v>
      </c>
      <c r="B37" s="7" t="s">
        <v>18</v>
      </c>
      <c r="C37" s="7">
        <v>100</v>
      </c>
      <c r="D37" s="7">
        <v>220</v>
      </c>
      <c r="E37" s="75">
        <f>D37/Berechnung!$D$30*100</f>
        <v>8.4567999661720084</v>
      </c>
      <c r="F37" s="75">
        <f>D37/Berechnung!$C$12</f>
        <v>11.752136752136753</v>
      </c>
      <c r="G37" s="75">
        <f>D37/Berechnung!$B$35</f>
        <v>1.0204081632653061</v>
      </c>
      <c r="H37" s="75">
        <f>Berechnung!$B$16/1000000*D37</f>
        <v>4.3779999999999999E-2</v>
      </c>
      <c r="I37" s="3">
        <v>49</v>
      </c>
      <c r="J37" s="3">
        <v>31</v>
      </c>
    </row>
    <row r="38" spans="1:10" x14ac:dyDescent="0.25">
      <c r="A38" s="7" t="s">
        <v>191</v>
      </c>
      <c r="B38" s="7" t="s">
        <v>47</v>
      </c>
      <c r="C38" s="7">
        <v>100</v>
      </c>
      <c r="D38" s="7">
        <v>251</v>
      </c>
      <c r="E38" s="75">
        <f>D38/Berechnung!$D$30*100</f>
        <v>9.6484399614053373</v>
      </c>
      <c r="F38" s="75">
        <f>D38/Berechnung!$C$12</f>
        <v>13.408119658119659</v>
      </c>
      <c r="G38" s="75">
        <f>D38/Berechnung!$B$35</f>
        <v>1.1641929499072357</v>
      </c>
      <c r="H38" s="75">
        <f>Berechnung!$B$16/1000000*D38</f>
        <v>4.9949E-2</v>
      </c>
      <c r="I38" s="3">
        <v>104</v>
      </c>
    </row>
    <row r="39" spans="1:10" x14ac:dyDescent="0.25">
      <c r="A39" s="7" t="s">
        <v>191</v>
      </c>
      <c r="B39" s="7" t="s">
        <v>16</v>
      </c>
      <c r="C39" s="7">
        <v>100</v>
      </c>
      <c r="D39" s="7">
        <v>32</v>
      </c>
      <c r="E39" s="75">
        <f>D39/Berechnung!$D$30*100</f>
        <v>1.2300799950795649</v>
      </c>
      <c r="F39" s="75">
        <f>D39/Berechnung!$C$12</f>
        <v>1.7094017094017095</v>
      </c>
      <c r="G39" s="75">
        <f>D39/Berechnung!$B$35</f>
        <v>0.14842300556586271</v>
      </c>
      <c r="H39" s="75">
        <f>Berechnung!$B$16/1000000*D39</f>
        <v>6.3680000000000004E-3</v>
      </c>
    </row>
    <row r="40" spans="1:10" x14ac:dyDescent="0.25">
      <c r="A40" s="7" t="s">
        <v>191</v>
      </c>
      <c r="B40" s="7" t="s">
        <v>50</v>
      </c>
      <c r="C40" s="7">
        <v>100</v>
      </c>
      <c r="D40" s="7">
        <v>186</v>
      </c>
      <c r="E40" s="75">
        <f>D40/Berechnung!$D$30*100</f>
        <v>7.1498399713999712</v>
      </c>
      <c r="F40" s="75">
        <f>D40/Berechnung!$C$12</f>
        <v>9.9358974358974361</v>
      </c>
      <c r="G40" s="75">
        <f>D40/Berechnung!$B$35</f>
        <v>0.86270871985157704</v>
      </c>
      <c r="H40" s="75">
        <f>Berechnung!$B$16/1000000*D40</f>
        <v>3.7014000000000005E-2</v>
      </c>
      <c r="I40" s="3">
        <v>142</v>
      </c>
    </row>
    <row r="41" spans="1:10" x14ac:dyDescent="0.25">
      <c r="A41" s="7" t="s">
        <v>81</v>
      </c>
      <c r="B41" s="12" t="s">
        <v>44</v>
      </c>
      <c r="C41" s="12">
        <v>100</v>
      </c>
      <c r="D41" s="130">
        <v>4333</v>
      </c>
      <c r="E41" s="75">
        <f>D41/Berechnung!$D$30*100</f>
        <v>166.56051933374235</v>
      </c>
      <c r="F41" s="108">
        <f>D41/Berechnung!$C$12</f>
        <v>231.46367521367523</v>
      </c>
      <c r="G41" s="75">
        <f>D41/Berechnung!$B$35</f>
        <v>20.097402597402599</v>
      </c>
      <c r="H41" s="108">
        <f>Berechnung!$B$16/1000000*D41</f>
        <v>0.86226700000000001</v>
      </c>
      <c r="I41" s="3">
        <v>157</v>
      </c>
      <c r="J41" s="3">
        <v>107</v>
      </c>
    </row>
    <row r="42" spans="1:10" x14ac:dyDescent="0.25">
      <c r="A42" s="7" t="s">
        <v>81</v>
      </c>
      <c r="B42" s="7" t="s">
        <v>45</v>
      </c>
      <c r="C42" s="7">
        <v>100</v>
      </c>
      <c r="D42" s="71">
        <v>471</v>
      </c>
      <c r="E42" s="75">
        <f>D42/Berechnung!$D$30*100</f>
        <v>18.105239927577347</v>
      </c>
      <c r="F42" s="75">
        <f>D42/Berechnung!$C$12</f>
        <v>25.160256410256412</v>
      </c>
      <c r="G42" s="75">
        <f>D42/Berechnung!$B$35</f>
        <v>2.1846011131725418</v>
      </c>
      <c r="H42" s="75">
        <f>Berechnung!$B$16/1000000*D42</f>
        <v>9.3729000000000007E-2</v>
      </c>
      <c r="I42" s="3">
        <v>132</v>
      </c>
      <c r="J42" s="3">
        <v>215</v>
      </c>
    </row>
    <row r="43" spans="1:10" x14ac:dyDescent="0.25">
      <c r="A43" s="7" t="s">
        <v>81</v>
      </c>
      <c r="B43" s="7" t="s">
        <v>46</v>
      </c>
      <c r="C43" s="7">
        <v>100</v>
      </c>
      <c r="D43" s="71">
        <v>505</v>
      </c>
      <c r="E43" s="75">
        <f>D43/Berechnung!$D$30*100</f>
        <v>19.412199922349384</v>
      </c>
      <c r="F43" s="75">
        <f>D43/Berechnung!$C$12</f>
        <v>26.976495726495727</v>
      </c>
      <c r="G43" s="75">
        <f>D43/Berechnung!$B$35</f>
        <v>2.3423005565862711</v>
      </c>
      <c r="H43" s="75">
        <f>Berechnung!$B$16/1000000*D43</f>
        <v>0.100495</v>
      </c>
      <c r="I43" s="3">
        <v>189</v>
      </c>
      <c r="J43" s="3">
        <v>404</v>
      </c>
    </row>
    <row r="44" spans="1:10" x14ac:dyDescent="0.25">
      <c r="A44" s="7" t="s">
        <v>81</v>
      </c>
      <c r="B44" s="7" t="s">
        <v>48</v>
      </c>
      <c r="C44" s="12">
        <v>100</v>
      </c>
      <c r="D44" s="71">
        <v>663</v>
      </c>
      <c r="E44" s="75">
        <f>D44/Berechnung!$D$30*100</f>
        <v>25.485719898054736</v>
      </c>
      <c r="F44" s="75">
        <f>D44/Berechnung!$C$12</f>
        <v>35.416666666666671</v>
      </c>
      <c r="G44" s="75">
        <f>D44/Berechnung!$B$35</f>
        <v>3.075139146567718</v>
      </c>
      <c r="H44" s="75">
        <f>Berechnung!$B$16/1000000*D44</f>
        <v>0.131937</v>
      </c>
      <c r="I44" s="3">
        <v>176</v>
      </c>
      <c r="J44" s="3">
        <v>267</v>
      </c>
    </row>
    <row r="45" spans="1:10" x14ac:dyDescent="0.25">
      <c r="A45" s="7" t="s">
        <v>81</v>
      </c>
      <c r="B45" s="7" t="s">
        <v>51</v>
      </c>
      <c r="C45" s="12">
        <v>100</v>
      </c>
      <c r="D45" s="71">
        <v>645</v>
      </c>
      <c r="E45" s="75">
        <f>D45/Berechnung!$D$30*100</f>
        <v>24.793799900822481</v>
      </c>
      <c r="F45" s="75">
        <f>D45/Berechnung!$C$12</f>
        <v>34.455128205128204</v>
      </c>
      <c r="G45" s="75">
        <f>D45/Berechnung!$B$35</f>
        <v>2.9916512059369205</v>
      </c>
      <c r="H45" s="75">
        <f>Berechnung!$B$16/1000000*D45</f>
        <v>0.128355</v>
      </c>
      <c r="I45" s="3">
        <v>147</v>
      </c>
      <c r="J45" s="3">
        <v>157</v>
      </c>
    </row>
    <row r="46" spans="1:10" x14ac:dyDescent="0.25">
      <c r="A46" s="7" t="s">
        <v>81</v>
      </c>
      <c r="B46" s="7" t="s">
        <v>52</v>
      </c>
      <c r="C46" s="12">
        <v>100</v>
      </c>
      <c r="D46" s="71">
        <v>2083</v>
      </c>
      <c r="E46" s="75">
        <f>D46/Berechnung!$D$30*100</f>
        <v>80.070519679710429</v>
      </c>
      <c r="F46" s="75">
        <f>D46/Berechnung!$C$12</f>
        <v>111.27136752136752</v>
      </c>
      <c r="G46" s="75">
        <f>D46/Berechnung!$B$35</f>
        <v>9.6614100185528766</v>
      </c>
      <c r="H46" s="75">
        <f>Berechnung!$B$16/1000000*D46</f>
        <v>0.41451700000000002</v>
      </c>
      <c r="I46" s="3">
        <v>287</v>
      </c>
    </row>
    <row r="47" spans="1:10" x14ac:dyDescent="0.25">
      <c r="A47" s="7" t="s">
        <v>84</v>
      </c>
      <c r="B47" s="7" t="s">
        <v>2</v>
      </c>
      <c r="C47" s="7">
        <v>100</v>
      </c>
      <c r="D47" s="7">
        <v>422</v>
      </c>
      <c r="E47" s="75">
        <f>D47/Berechnung!$D$30*100</f>
        <v>16.221679935111762</v>
      </c>
      <c r="F47" s="75">
        <f>D47/Berechnung!$C$12</f>
        <v>22.542735042735043</v>
      </c>
      <c r="G47" s="75">
        <f>D47/Berechnung!$B$35</f>
        <v>1.9573283858998145</v>
      </c>
      <c r="H47" s="75">
        <f>Berechnung!$B$16/1000000*D47</f>
        <v>8.3978000000000011E-2</v>
      </c>
      <c r="I47" s="3">
        <v>102</v>
      </c>
      <c r="J47" s="3">
        <v>131</v>
      </c>
    </row>
    <row r="48" spans="1:10" x14ac:dyDescent="0.25">
      <c r="A48" s="7" t="s">
        <v>84</v>
      </c>
      <c r="B48" s="7" t="s">
        <v>3</v>
      </c>
      <c r="C48" s="7">
        <v>100</v>
      </c>
      <c r="D48" s="7">
        <v>321</v>
      </c>
      <c r="E48" s="75">
        <f>D48/Berechnung!$D$30*100</f>
        <v>12.339239950641884</v>
      </c>
      <c r="F48" s="75">
        <f>D48/Berechnung!$C$12</f>
        <v>17.147435897435898</v>
      </c>
      <c r="G48" s="75">
        <f>D48/Berechnung!$B$35</f>
        <v>1.4888682745825603</v>
      </c>
      <c r="H48" s="75">
        <f>Berechnung!$B$16/1000000*D48</f>
        <v>6.3879000000000005E-2</v>
      </c>
      <c r="I48" s="3">
        <v>90</v>
      </c>
      <c r="J48" s="3">
        <v>82</v>
      </c>
    </row>
    <row r="49" spans="1:10" x14ac:dyDescent="0.25">
      <c r="A49" s="7" t="s">
        <v>84</v>
      </c>
      <c r="B49" s="7" t="s">
        <v>4</v>
      </c>
      <c r="C49" s="7">
        <v>100</v>
      </c>
      <c r="D49" s="7">
        <v>191</v>
      </c>
      <c r="E49" s="75">
        <f>D49/Berechnung!$D$30*100</f>
        <v>7.3420399706311539</v>
      </c>
      <c r="F49" s="75">
        <f>D49/Berechnung!$C$12</f>
        <v>10.202991452991453</v>
      </c>
      <c r="G49" s="75">
        <f>D49/Berechnung!$B$35</f>
        <v>0.88589981447124311</v>
      </c>
      <c r="H49" s="75">
        <f>Berechnung!$B$16/1000000*D49</f>
        <v>3.8009000000000001E-2</v>
      </c>
      <c r="J49" s="3">
        <v>250</v>
      </c>
    </row>
    <row r="50" spans="1:10" x14ac:dyDescent="0.25">
      <c r="A50" s="7" t="s">
        <v>84</v>
      </c>
      <c r="B50" s="7" t="s">
        <v>5</v>
      </c>
      <c r="C50" s="7">
        <v>100</v>
      </c>
      <c r="D50" s="7">
        <v>436</v>
      </c>
      <c r="E50" s="75">
        <f>D50/Berechnung!$D$30*100</f>
        <v>16.759839932959071</v>
      </c>
      <c r="F50" s="75">
        <f>D50/Berechnung!$C$12</f>
        <v>23.290598290598293</v>
      </c>
      <c r="G50" s="75">
        <f>D50/Berechnung!$B$35</f>
        <v>2.0222634508348794</v>
      </c>
      <c r="H50" s="75">
        <f>Berechnung!$B$16/1000000*D50</f>
        <v>8.6764000000000008E-2</v>
      </c>
      <c r="I50" s="3">
        <v>110</v>
      </c>
      <c r="J50" s="3">
        <v>110</v>
      </c>
    </row>
    <row r="51" spans="1:10" x14ac:dyDescent="0.25">
      <c r="A51" s="7" t="s">
        <v>84</v>
      </c>
      <c r="B51" s="7" t="s">
        <v>6</v>
      </c>
      <c r="C51" s="7">
        <v>100</v>
      </c>
      <c r="D51" s="7">
        <v>159</v>
      </c>
      <c r="E51" s="75">
        <f>D51/Berechnung!$D$30*100</f>
        <v>6.1119599755515885</v>
      </c>
      <c r="F51" s="75">
        <f>D51/Berechnung!$C$12</f>
        <v>8.4935897435897445</v>
      </c>
      <c r="G51" s="75">
        <f>D51/Berechnung!$B$35</f>
        <v>0.73747680890538037</v>
      </c>
      <c r="H51" s="75">
        <f>Berechnung!$B$16/1000000*D51</f>
        <v>3.1641000000000002E-2</v>
      </c>
      <c r="I51" s="3">
        <v>258</v>
      </c>
      <c r="J51" s="3">
        <v>158</v>
      </c>
    </row>
    <row r="52" spans="1:10" x14ac:dyDescent="0.25">
      <c r="A52" s="7" t="s">
        <v>84</v>
      </c>
      <c r="B52" s="7" t="s">
        <v>7</v>
      </c>
      <c r="C52" s="7">
        <v>100</v>
      </c>
      <c r="D52" s="7">
        <v>479</v>
      </c>
      <c r="E52" s="75">
        <f>D52/Berechnung!$D$30*100</f>
        <v>18.412759926347235</v>
      </c>
      <c r="F52" s="75">
        <f>D52/Berechnung!$C$12</f>
        <v>25.587606837606838</v>
      </c>
      <c r="G52" s="75">
        <f>D52/Berechnung!$B$35</f>
        <v>2.2217068645640077</v>
      </c>
      <c r="H52" s="75">
        <f>Berechnung!$B$16/1000000*D52</f>
        <v>9.5321000000000003E-2</v>
      </c>
      <c r="I52" s="3">
        <v>203</v>
      </c>
      <c r="J52" s="3">
        <v>142</v>
      </c>
    </row>
    <row r="53" spans="1:10" x14ac:dyDescent="0.25">
      <c r="A53" s="7" t="s">
        <v>84</v>
      </c>
      <c r="B53" s="7" t="s">
        <v>8</v>
      </c>
      <c r="C53" s="7">
        <v>100</v>
      </c>
      <c r="D53" s="7">
        <v>436</v>
      </c>
      <c r="E53" s="75">
        <f>D53/Berechnung!$D$30*100</f>
        <v>16.759839932959071</v>
      </c>
      <c r="F53" s="75">
        <f>D53/Berechnung!$C$12</f>
        <v>23.290598290598293</v>
      </c>
      <c r="G53" s="75">
        <f>D53/Berechnung!$B$35</f>
        <v>2.0222634508348794</v>
      </c>
      <c r="H53" s="75">
        <f>Berechnung!$B$16/1000000*D53</f>
        <v>8.6764000000000008E-2</v>
      </c>
      <c r="I53" s="3">
        <v>108</v>
      </c>
      <c r="J53" s="3">
        <v>97</v>
      </c>
    </row>
    <row r="54" spans="1:10" x14ac:dyDescent="0.25">
      <c r="A54" s="7" t="s">
        <v>84</v>
      </c>
      <c r="B54" s="7" t="s">
        <v>9</v>
      </c>
      <c r="C54" s="7">
        <v>100</v>
      </c>
      <c r="D54" s="7">
        <v>1016</v>
      </c>
      <c r="E54" s="75">
        <f>D54/Berechnung!$D$30*100</f>
        <v>39.055039843776186</v>
      </c>
      <c r="F54" s="75">
        <f>D54/Berechnung!$C$12</f>
        <v>54.27350427350428</v>
      </c>
      <c r="G54" s="75">
        <f>D54/Berechnung!$B$35</f>
        <v>4.712430426716141</v>
      </c>
      <c r="H54" s="75">
        <f>Berechnung!$B$16/1000000*D54</f>
        <v>0.202184</v>
      </c>
      <c r="I54" s="3">
        <v>100</v>
      </c>
      <c r="J54" s="3">
        <v>144</v>
      </c>
    </row>
    <row r="76" spans="13:13" x14ac:dyDescent="0.25">
      <c r="M76" s="7"/>
    </row>
    <row r="77" spans="13:13" x14ac:dyDescent="0.25">
      <c r="M77" s="7"/>
    </row>
    <row r="78" spans="13:13" x14ac:dyDescent="0.25">
      <c r="M78" s="7"/>
    </row>
    <row r="79" spans="13:13" x14ac:dyDescent="0.25">
      <c r="M79" s="7"/>
    </row>
    <row r="80" spans="13:13" x14ac:dyDescent="0.25">
      <c r="M80" s="7"/>
    </row>
    <row r="81" spans="13:13" x14ac:dyDescent="0.25">
      <c r="M81" s="7"/>
    </row>
  </sheetData>
  <pageMargins left="0.7" right="0.7" top="0.78740157499999996" bottom="0.78740157499999996"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ECCA-A75A-4EDF-83E1-464AE7C48B3A}">
  <dimension ref="A1:H37"/>
  <sheetViews>
    <sheetView workbookViewId="0">
      <selection activeCell="G31" sqref="G31"/>
    </sheetView>
  </sheetViews>
  <sheetFormatPr baseColWidth="10" defaultRowHeight="15" x14ac:dyDescent="0.25"/>
  <sheetData>
    <row r="1" spans="1:8" x14ac:dyDescent="0.25">
      <c r="B1" s="122" t="s">
        <v>181</v>
      </c>
      <c r="C1" s="123" t="s">
        <v>10</v>
      </c>
      <c r="D1" s="123" t="s">
        <v>11</v>
      </c>
      <c r="E1" s="123" t="s">
        <v>183</v>
      </c>
      <c r="F1" s="123" t="s">
        <v>184</v>
      </c>
      <c r="G1" s="123" t="s">
        <v>194</v>
      </c>
      <c r="H1" s="123" t="s">
        <v>169</v>
      </c>
    </row>
    <row r="2" spans="1:8" x14ac:dyDescent="0.25">
      <c r="A2" s="7"/>
      <c r="B2" s="166" t="s">
        <v>73</v>
      </c>
      <c r="C2" s="167">
        <v>300</v>
      </c>
      <c r="D2" s="167">
        <f>383*3</f>
        <v>1149</v>
      </c>
      <c r="E2" s="168">
        <f>D2/Berechnung!$D$30*100</f>
        <v>44.167559823325625</v>
      </c>
      <c r="F2" s="168">
        <f>G2*0.6213712</f>
        <v>3.3114819517625231</v>
      </c>
      <c r="G2" s="168">
        <f>D2/Berechnung!$B$35</f>
        <v>5.329313543599258</v>
      </c>
      <c r="H2" s="169">
        <f>Berechnung!$B$16/1000000*D2</f>
        <v>0.22865100000000002</v>
      </c>
    </row>
    <row r="3" spans="1:8" x14ac:dyDescent="0.25">
      <c r="B3" s="170" t="s">
        <v>76</v>
      </c>
      <c r="C3" s="171">
        <v>300</v>
      </c>
      <c r="D3" s="171">
        <f>1390*3</f>
        <v>4170</v>
      </c>
      <c r="E3" s="172">
        <f>D3/Berechnung!$D$30*100</f>
        <v>160.29479935880579</v>
      </c>
      <c r="F3" s="172">
        <f>G3*0.6213712</f>
        <v>12.018172096474954</v>
      </c>
      <c r="G3" s="172">
        <f>D3/Berechnung!$B$35</f>
        <v>19.341372912801486</v>
      </c>
      <c r="H3" s="173">
        <f>Berechnung!$B$16/1000000*D3</f>
        <v>0.82983000000000007</v>
      </c>
    </row>
    <row r="4" spans="1:8" x14ac:dyDescent="0.25">
      <c r="B4" s="131" t="s">
        <v>212</v>
      </c>
      <c r="C4" s="131">
        <v>100</v>
      </c>
      <c r="D4" s="134">
        <f>G16</f>
        <v>94.35</v>
      </c>
      <c r="E4" s="135">
        <f>D4/Berechnung!$D$30*100</f>
        <v>3.6268139854924044</v>
      </c>
      <c r="F4" s="135">
        <f>D4/Berechnung!$C$12</f>
        <v>5.0400641025641022</v>
      </c>
      <c r="G4" s="135">
        <f>D4/Berechnung!$B$35</f>
        <v>0.43761595547309834</v>
      </c>
      <c r="H4" s="135">
        <f>Berechnung!$B$16/1000000*D4</f>
        <v>1.8775650000000001E-2</v>
      </c>
    </row>
    <row r="5" spans="1:8" x14ac:dyDescent="0.25">
      <c r="B5" s="131" t="s">
        <v>217</v>
      </c>
      <c r="C5" s="131">
        <v>100</v>
      </c>
      <c r="D5" s="139">
        <f>G24</f>
        <v>381.1</v>
      </c>
      <c r="E5" s="136">
        <f>D5/Berechnung!$D$30*100</f>
        <v>14.649483941400696</v>
      </c>
      <c r="F5" s="136">
        <f>D5/Berechnung!$C$12</f>
        <v>20.357905982905987</v>
      </c>
      <c r="G5" s="136">
        <f>D5/Berechnung!$B$35</f>
        <v>1.7676252319109464</v>
      </c>
      <c r="H5" s="136">
        <f>Berechnung!$B$16/1000000*D5</f>
        <v>7.5838900000000015E-2</v>
      </c>
    </row>
    <row r="6" spans="1:8" x14ac:dyDescent="0.25">
      <c r="B6" s="131" t="s">
        <v>77</v>
      </c>
      <c r="C6" s="131">
        <v>100</v>
      </c>
      <c r="D6" s="137">
        <v>1176</v>
      </c>
      <c r="E6" s="138">
        <f>D6/Berechnung!$D$30*100</f>
        <v>45.205439819174011</v>
      </c>
      <c r="F6" s="138">
        <f>D6/Berechnung!$C$12</f>
        <v>62.820512820512825</v>
      </c>
      <c r="G6" s="138">
        <f>D6/Berechnung!$B$35</f>
        <v>5.454545454545455</v>
      </c>
      <c r="H6" s="138">
        <f>Berechnung!$B$16/1000000*D6</f>
        <v>0.23402400000000001</v>
      </c>
    </row>
    <row r="7" spans="1:8" x14ac:dyDescent="0.25">
      <c r="B7" s="7"/>
      <c r="C7" s="7"/>
      <c r="D7" s="7"/>
      <c r="E7" s="7"/>
      <c r="F7" s="7"/>
      <c r="G7" s="7"/>
      <c r="H7" s="7"/>
    </row>
    <row r="9" spans="1:8" x14ac:dyDescent="0.25">
      <c r="B9" s="7"/>
      <c r="C9" s="7"/>
      <c r="D9" s="7"/>
      <c r="E9" s="7"/>
      <c r="F9" s="7"/>
      <c r="G9" s="7"/>
      <c r="H9" s="7"/>
    </row>
    <row r="10" spans="1:8" x14ac:dyDescent="0.25">
      <c r="B10" s="142" t="s">
        <v>212</v>
      </c>
      <c r="C10" s="7" t="s">
        <v>155</v>
      </c>
      <c r="D10" s="7" t="s">
        <v>213</v>
      </c>
      <c r="E10" s="12" t="s">
        <v>214</v>
      </c>
      <c r="F10" s="12" t="s">
        <v>215</v>
      </c>
      <c r="G10" s="12" t="s">
        <v>216</v>
      </c>
      <c r="H10" s="7"/>
    </row>
    <row r="11" spans="1:8" x14ac:dyDescent="0.25">
      <c r="B11" s="131" t="s">
        <v>41</v>
      </c>
      <c r="C11" s="131">
        <v>100</v>
      </c>
      <c r="D11" s="131">
        <v>82</v>
      </c>
      <c r="E11" s="131">
        <v>0.6</v>
      </c>
      <c r="F11" s="131">
        <f>C11*E11</f>
        <v>60</v>
      </c>
      <c r="G11" s="131">
        <f>E11*D11</f>
        <v>49.199999999999996</v>
      </c>
      <c r="H11" s="7"/>
    </row>
    <row r="12" spans="1:8" x14ac:dyDescent="0.25">
      <c r="B12" s="131" t="s">
        <v>58</v>
      </c>
      <c r="C12" s="131">
        <v>100</v>
      </c>
      <c r="D12" s="131">
        <v>108</v>
      </c>
      <c r="E12" s="131">
        <v>0.2</v>
      </c>
      <c r="F12" s="131">
        <f>E12*C12</f>
        <v>20</v>
      </c>
      <c r="G12" s="131">
        <f>E12*D12</f>
        <v>21.6</v>
      </c>
      <c r="H12" s="7"/>
    </row>
    <row r="13" spans="1:8" x14ac:dyDescent="0.25">
      <c r="B13" s="131" t="s">
        <v>60</v>
      </c>
      <c r="C13" s="131">
        <v>100</v>
      </c>
      <c r="D13" s="131">
        <v>113</v>
      </c>
      <c r="E13" s="131">
        <v>0.1</v>
      </c>
      <c r="F13" s="131">
        <f>E13*C13</f>
        <v>10</v>
      </c>
      <c r="G13" s="131">
        <f>E13*D13</f>
        <v>11.3</v>
      </c>
      <c r="H13" s="7"/>
    </row>
    <row r="14" spans="1:8" x14ac:dyDescent="0.25">
      <c r="B14" s="131" t="s">
        <v>67</v>
      </c>
      <c r="C14" s="131">
        <v>100</v>
      </c>
      <c r="D14" s="131">
        <v>140</v>
      </c>
      <c r="E14" s="140">
        <v>0.05</v>
      </c>
      <c r="F14" s="131">
        <f>E14*C14</f>
        <v>5</v>
      </c>
      <c r="G14" s="131">
        <f>E14*D14</f>
        <v>7</v>
      </c>
      <c r="H14" s="7"/>
    </row>
    <row r="15" spans="1:8" x14ac:dyDescent="0.25">
      <c r="B15" s="131" t="s">
        <v>68</v>
      </c>
      <c r="C15" s="131">
        <v>100</v>
      </c>
      <c r="D15" s="131">
        <v>105</v>
      </c>
      <c r="E15" s="140">
        <v>0.05</v>
      </c>
      <c r="F15" s="131">
        <f>E15*C15</f>
        <v>5</v>
      </c>
      <c r="G15" s="131">
        <f>E15*D15</f>
        <v>5.25</v>
      </c>
      <c r="H15" s="7"/>
    </row>
    <row r="16" spans="1:8" x14ac:dyDescent="0.25">
      <c r="B16" s="7"/>
      <c r="C16" s="7"/>
      <c r="D16" s="7"/>
      <c r="E16" s="7"/>
      <c r="F16" s="141">
        <f>SUM(F11:F15)</f>
        <v>100</v>
      </c>
      <c r="G16" s="141">
        <f>SUM(G11:G15)</f>
        <v>94.35</v>
      </c>
      <c r="H16" s="7"/>
    </row>
    <row r="17" spans="2:8" x14ac:dyDescent="0.25">
      <c r="B17" s="7"/>
      <c r="C17" s="7"/>
      <c r="D17" s="7"/>
      <c r="E17" s="7"/>
      <c r="F17" s="7"/>
      <c r="G17" s="7"/>
      <c r="H17" s="7"/>
    </row>
    <row r="18" spans="2:8" x14ac:dyDescent="0.25">
      <c r="B18" s="141" t="s">
        <v>217</v>
      </c>
      <c r="C18" s="7"/>
      <c r="D18" s="7"/>
      <c r="E18" s="7" t="s">
        <v>214</v>
      </c>
      <c r="F18" s="7"/>
      <c r="G18" s="7"/>
      <c r="H18" s="7"/>
    </row>
    <row r="19" spans="2:8" x14ac:dyDescent="0.25">
      <c r="B19" s="131" t="s">
        <v>40</v>
      </c>
      <c r="C19" s="131">
        <v>100</v>
      </c>
      <c r="D19" s="131">
        <v>137</v>
      </c>
      <c r="E19" s="131">
        <v>0.3</v>
      </c>
      <c r="F19" s="131">
        <f>C19*E19</f>
        <v>30</v>
      </c>
      <c r="G19" s="131">
        <f>E19*D19</f>
        <v>41.1</v>
      </c>
      <c r="H19" s="7"/>
    </row>
    <row r="20" spans="2:8" x14ac:dyDescent="0.25">
      <c r="B20" s="131" t="s">
        <v>71</v>
      </c>
      <c r="C20" s="131">
        <v>100</v>
      </c>
      <c r="D20" s="131">
        <v>146</v>
      </c>
      <c r="E20" s="131">
        <v>0.2</v>
      </c>
      <c r="F20" s="131">
        <f>C20*E20</f>
        <v>20</v>
      </c>
      <c r="G20" s="131">
        <f>E20*D20</f>
        <v>29.200000000000003</v>
      </c>
      <c r="H20" s="7"/>
    </row>
    <row r="21" spans="2:8" x14ac:dyDescent="0.25">
      <c r="B21" s="131" t="s">
        <v>68</v>
      </c>
      <c r="C21" s="131">
        <v>100</v>
      </c>
      <c r="D21" s="131">
        <v>105</v>
      </c>
      <c r="E21" s="131">
        <v>0.02</v>
      </c>
      <c r="F21" s="131">
        <f>C21*E21</f>
        <v>2</v>
      </c>
      <c r="G21" s="131">
        <f>E21*D21</f>
        <v>2.1</v>
      </c>
      <c r="H21" s="7"/>
    </row>
    <row r="22" spans="2:8" x14ac:dyDescent="0.25">
      <c r="B22" s="131" t="s">
        <v>14</v>
      </c>
      <c r="C22" s="131">
        <v>100</v>
      </c>
      <c r="D22" s="131">
        <v>879</v>
      </c>
      <c r="E22" s="140">
        <v>0.3</v>
      </c>
      <c r="F22" s="131">
        <f>C22*E22</f>
        <v>30</v>
      </c>
      <c r="G22" s="131">
        <f>E22*D22</f>
        <v>263.7</v>
      </c>
      <c r="H22" s="7"/>
    </row>
    <row r="23" spans="2:8" x14ac:dyDescent="0.25">
      <c r="B23" s="131" t="s">
        <v>17</v>
      </c>
      <c r="C23" s="131">
        <v>100</v>
      </c>
      <c r="D23" s="131">
        <v>250</v>
      </c>
      <c r="E23" s="140">
        <v>0.18</v>
      </c>
      <c r="F23" s="131">
        <f>C23*E23</f>
        <v>18</v>
      </c>
      <c r="G23" s="131">
        <f>E23*D23</f>
        <v>45</v>
      </c>
      <c r="H23" s="7"/>
    </row>
    <row r="24" spans="2:8" x14ac:dyDescent="0.25">
      <c r="B24" s="7"/>
      <c r="C24" s="7"/>
      <c r="D24" s="7"/>
      <c r="E24" s="7"/>
      <c r="F24" s="141">
        <f>SUM(F19:F23)</f>
        <v>100</v>
      </c>
      <c r="G24" s="141">
        <f>SUM(G19:G23)</f>
        <v>381.1</v>
      </c>
      <c r="H24" s="7"/>
    </row>
    <row r="25" spans="2:8" x14ac:dyDescent="0.25">
      <c r="H25" s="7"/>
    </row>
    <row r="26" spans="2:8" x14ac:dyDescent="0.25">
      <c r="B26" s="11" t="s">
        <v>219</v>
      </c>
      <c r="H26" s="7"/>
    </row>
    <row r="27" spans="2:8" x14ac:dyDescent="0.25">
      <c r="B27" t="s">
        <v>220</v>
      </c>
      <c r="C27" t="s">
        <v>155</v>
      </c>
      <c r="D27" t="s">
        <v>156</v>
      </c>
      <c r="H27" s="7"/>
    </row>
    <row r="28" spans="2:8" x14ac:dyDescent="0.25">
      <c r="B28" s="87" t="s">
        <v>221</v>
      </c>
      <c r="C28" s="88">
        <v>15</v>
      </c>
      <c r="D28" s="89">
        <v>17</v>
      </c>
      <c r="E28" s="7"/>
      <c r="F28" s="7"/>
      <c r="G28" s="7"/>
      <c r="H28" s="7"/>
    </row>
    <row r="29" spans="2:8" x14ac:dyDescent="0.25">
      <c r="B29" s="6" t="s">
        <v>222</v>
      </c>
      <c r="C29" s="7">
        <v>5</v>
      </c>
      <c r="D29" s="91">
        <v>6</v>
      </c>
    </row>
    <row r="30" spans="2:8" x14ac:dyDescent="0.25">
      <c r="B30" s="6" t="s">
        <v>223</v>
      </c>
      <c r="C30" s="7">
        <v>5</v>
      </c>
      <c r="D30" s="91">
        <v>6</v>
      </c>
    </row>
    <row r="31" spans="2:8" x14ac:dyDescent="0.25">
      <c r="B31" s="6" t="s">
        <v>224</v>
      </c>
      <c r="C31" s="7">
        <v>140</v>
      </c>
      <c r="D31" s="91">
        <v>114</v>
      </c>
    </row>
    <row r="32" spans="2:8" x14ac:dyDescent="0.25">
      <c r="B32" s="6" t="s">
        <v>225</v>
      </c>
      <c r="C32" s="7">
        <v>30</v>
      </c>
      <c r="D32" s="91">
        <v>76</v>
      </c>
    </row>
    <row r="33" spans="2:4" x14ac:dyDescent="0.25">
      <c r="B33" s="6" t="s">
        <v>226</v>
      </c>
      <c r="C33" s="7">
        <v>20</v>
      </c>
      <c r="D33" s="91">
        <v>21</v>
      </c>
    </row>
    <row r="34" spans="2:4" x14ac:dyDescent="0.25">
      <c r="B34" s="6" t="s">
        <v>227</v>
      </c>
      <c r="C34" s="7">
        <v>320</v>
      </c>
      <c r="D34" s="91">
        <v>646</v>
      </c>
    </row>
    <row r="35" spans="2:4" x14ac:dyDescent="0.25">
      <c r="B35" s="8" t="s">
        <v>228</v>
      </c>
      <c r="C35" s="9">
        <v>200</v>
      </c>
      <c r="D35" s="9">
        <v>581</v>
      </c>
    </row>
    <row r="36" spans="2:4" x14ac:dyDescent="0.25">
      <c r="B36" s="143" t="s">
        <v>229</v>
      </c>
      <c r="C36" s="144">
        <f>SUM(C28:C35)</f>
        <v>735</v>
      </c>
      <c r="D36" s="145">
        <f>SUM(D28:D35)</f>
        <v>1467</v>
      </c>
    </row>
    <row r="37" spans="2:4" x14ac:dyDescent="0.25">
      <c r="B37" s="143" t="s">
        <v>230</v>
      </c>
      <c r="C37" s="144">
        <f>C36/735*100</f>
        <v>100</v>
      </c>
      <c r="D37" s="145">
        <f>D36/735*100</f>
        <v>199.59183673469389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F49B-7D8A-47BA-A505-BCFC4C018F10}">
  <dimension ref="A1:G35"/>
  <sheetViews>
    <sheetView topLeftCell="A16" workbookViewId="0">
      <selection activeCell="D35" sqref="D35"/>
    </sheetView>
  </sheetViews>
  <sheetFormatPr baseColWidth="10" defaultRowHeight="15" x14ac:dyDescent="0.25"/>
  <cols>
    <col min="1" max="1" width="38.5703125" bestFit="1" customWidth="1"/>
    <col min="4" max="4" width="14.5703125" customWidth="1"/>
  </cols>
  <sheetData>
    <row r="1" spans="1:7" x14ac:dyDescent="0.25">
      <c r="A1" s="11" t="s">
        <v>167</v>
      </c>
    </row>
    <row r="2" spans="1:7" x14ac:dyDescent="0.25">
      <c r="A2" s="87" t="s">
        <v>159</v>
      </c>
      <c r="B2" s="88">
        <v>40</v>
      </c>
      <c r="C2" s="89" t="s">
        <v>186</v>
      </c>
    </row>
    <row r="3" spans="1:7" x14ac:dyDescent="0.25">
      <c r="A3" s="6" t="s">
        <v>160</v>
      </c>
      <c r="B3" s="7">
        <v>0.04</v>
      </c>
      <c r="C3" s="91" t="s">
        <v>161</v>
      </c>
    </row>
    <row r="4" spans="1:7" x14ac:dyDescent="0.25">
      <c r="A4" s="8" t="s">
        <v>162</v>
      </c>
      <c r="B4" s="9">
        <f>1/B3</f>
        <v>25</v>
      </c>
      <c r="C4" s="90" t="s">
        <v>163</v>
      </c>
      <c r="D4" s="3"/>
    </row>
    <row r="5" spans="1:7" x14ac:dyDescent="0.25">
      <c r="D5" s="3"/>
    </row>
    <row r="6" spans="1:7" x14ac:dyDescent="0.25">
      <c r="A6" s="87" t="s">
        <v>164</v>
      </c>
      <c r="B6" s="88">
        <v>468</v>
      </c>
      <c r="C6" s="89" t="s">
        <v>165</v>
      </c>
      <c r="D6" s="86" t="s">
        <v>170</v>
      </c>
    </row>
    <row r="7" spans="1:7" x14ac:dyDescent="0.25">
      <c r="A7" s="8" t="s">
        <v>164</v>
      </c>
      <c r="B7" s="9">
        <v>401.75</v>
      </c>
      <c r="C7" s="90" t="s">
        <v>166</v>
      </c>
      <c r="D7" s="86" t="s">
        <v>96</v>
      </c>
    </row>
    <row r="8" spans="1:7" x14ac:dyDescent="0.25">
      <c r="D8" s="3"/>
    </row>
    <row r="9" spans="1:7" x14ac:dyDescent="0.25">
      <c r="D9" s="3"/>
    </row>
    <row r="10" spans="1:7" x14ac:dyDescent="0.25">
      <c r="D10" s="3"/>
    </row>
    <row r="11" spans="1:7" x14ac:dyDescent="0.25">
      <c r="A11" s="100"/>
      <c r="B11" s="101" t="s">
        <v>165</v>
      </c>
      <c r="C11" s="101" t="s">
        <v>177</v>
      </c>
      <c r="D11" s="102" t="s">
        <v>174</v>
      </c>
      <c r="F11" s="98" t="s">
        <v>175</v>
      </c>
      <c r="G11" s="99" t="s">
        <v>172</v>
      </c>
    </row>
    <row r="12" spans="1:7" x14ac:dyDescent="0.25">
      <c r="A12" s="95"/>
      <c r="B12" s="96">
        <f>B6</f>
        <v>468</v>
      </c>
      <c r="C12" s="105">
        <f>B12/B4</f>
        <v>18.72</v>
      </c>
      <c r="D12" s="97">
        <f>C12/60</f>
        <v>0.312</v>
      </c>
      <c r="F12" s="79" t="s">
        <v>176</v>
      </c>
      <c r="G12" s="99" t="s">
        <v>173</v>
      </c>
    </row>
    <row r="13" spans="1:7" x14ac:dyDescent="0.25">
      <c r="A13" s="77"/>
      <c r="B13" s="94"/>
      <c r="C13" s="103"/>
      <c r="D13" s="104"/>
    </row>
    <row r="15" spans="1:7" x14ac:dyDescent="0.25">
      <c r="A15" s="11" t="s">
        <v>168</v>
      </c>
    </row>
    <row r="16" spans="1:7" x14ac:dyDescent="0.25">
      <c r="A16" s="93" t="s">
        <v>188</v>
      </c>
      <c r="B16" s="106">
        <v>199</v>
      </c>
      <c r="C16" s="92" t="s">
        <v>154</v>
      </c>
      <c r="D16" s="1" t="s">
        <v>171</v>
      </c>
    </row>
    <row r="17" spans="1:4" x14ac:dyDescent="0.25">
      <c r="A17" s="93" t="s">
        <v>187</v>
      </c>
      <c r="B17" s="124">
        <v>680</v>
      </c>
      <c r="C17" s="92" t="s">
        <v>154</v>
      </c>
    </row>
    <row r="20" spans="1:4" x14ac:dyDescent="0.25">
      <c r="A20" s="11" t="s">
        <v>195</v>
      </c>
    </row>
    <row r="21" spans="1:4" x14ac:dyDescent="0.25">
      <c r="A21" s="131" t="s">
        <v>196</v>
      </c>
      <c r="B21" s="131">
        <v>49.5</v>
      </c>
      <c r="C21" s="131" t="s">
        <v>197</v>
      </c>
    </row>
    <row r="22" spans="1:4" x14ac:dyDescent="0.25">
      <c r="A22" s="131" t="s">
        <v>200</v>
      </c>
      <c r="B22" s="131">
        <v>7.6</v>
      </c>
      <c r="C22" s="131" t="s">
        <v>198</v>
      </c>
    </row>
    <row r="23" spans="1:4" x14ac:dyDescent="0.25">
      <c r="A23" s="131" t="s">
        <v>199</v>
      </c>
      <c r="B23" s="131">
        <v>7.5999999999999998E-2</v>
      </c>
      <c r="C23" s="131"/>
    </row>
    <row r="24" spans="1:4" x14ac:dyDescent="0.25">
      <c r="A24" s="131" t="s">
        <v>201</v>
      </c>
      <c r="B24" s="131">
        <v>0.2</v>
      </c>
      <c r="C24" s="131"/>
    </row>
    <row r="25" spans="1:4" x14ac:dyDescent="0.25">
      <c r="B25" s="2" t="s">
        <v>206</v>
      </c>
      <c r="C25" s="2" t="s">
        <v>206</v>
      </c>
      <c r="D25" s="2" t="s">
        <v>207</v>
      </c>
    </row>
    <row r="26" spans="1:4" x14ac:dyDescent="0.25">
      <c r="A26" t="s">
        <v>202</v>
      </c>
      <c r="B26" s="2" t="s">
        <v>205</v>
      </c>
      <c r="C26" s="2" t="s">
        <v>203</v>
      </c>
      <c r="D26" s="2" t="s">
        <v>204</v>
      </c>
    </row>
    <row r="27" spans="1:4" x14ac:dyDescent="0.25">
      <c r="A27" s="131">
        <v>2019</v>
      </c>
      <c r="B27" s="132">
        <f>B21/B22*(1-B23) *1000</f>
        <v>6018.1578947368425</v>
      </c>
      <c r="C27" s="132">
        <f>B27*$B$24</f>
        <v>1203.6315789473686</v>
      </c>
      <c r="D27" s="132">
        <f>C27/365*1000</f>
        <v>3297.6207642393656</v>
      </c>
    </row>
    <row r="28" spans="1:4" x14ac:dyDescent="0.25">
      <c r="A28" s="131">
        <v>2020</v>
      </c>
      <c r="B28" s="132">
        <f>B27*(1-$B$23)</f>
        <v>5560.7778947368424</v>
      </c>
      <c r="C28" s="132">
        <f>B28*$B$24</f>
        <v>1112.1555789473684</v>
      </c>
      <c r="D28" s="132">
        <f>C28/365*1000</f>
        <v>3047.0015861571737</v>
      </c>
    </row>
    <row r="29" spans="1:4" x14ac:dyDescent="0.25">
      <c r="A29" s="131">
        <v>2021</v>
      </c>
      <c r="B29" s="132">
        <f>B28*(1-$B$23)</f>
        <v>5138.158774736843</v>
      </c>
      <c r="C29" s="132">
        <f>B29*$B$24</f>
        <v>1027.6317549473686</v>
      </c>
      <c r="D29" s="132">
        <f>C29/365*1000</f>
        <v>2815.4294656092288</v>
      </c>
    </row>
    <row r="30" spans="1:4" x14ac:dyDescent="0.25">
      <c r="A30" s="131">
        <v>2022</v>
      </c>
      <c r="B30" s="132">
        <f>B29*(1-$B$23)</f>
        <v>4747.6587078568436</v>
      </c>
      <c r="C30" s="132">
        <f>B30*$B$24</f>
        <v>949.5317415713688</v>
      </c>
      <c r="D30" s="133">
        <f>C30/365*1000</f>
        <v>2601.4568262229282</v>
      </c>
    </row>
    <row r="33" spans="1:4" x14ac:dyDescent="0.25">
      <c r="A33" s="11" t="s">
        <v>208</v>
      </c>
    </row>
    <row r="34" spans="1:4" x14ac:dyDescent="0.25">
      <c r="B34" t="s">
        <v>210</v>
      </c>
    </row>
    <row r="35" spans="1:4" x14ac:dyDescent="0.25">
      <c r="A35" t="s">
        <v>209</v>
      </c>
      <c r="B35" s="124">
        <f>154*1.4</f>
        <v>215.6</v>
      </c>
      <c r="C35" t="s">
        <v>218</v>
      </c>
      <c r="D35" s="1" t="s">
        <v>211</v>
      </c>
    </row>
  </sheetData>
  <hyperlinks>
    <hyperlink ref="D6" r:id="rId1" xr:uid="{B5877887-5660-4D6E-AAD9-710753B50C39}"/>
    <hyperlink ref="D7" r:id="rId2" xr:uid="{8CC225A0-D16D-4541-AA6C-7D8F4813AFCE}"/>
    <hyperlink ref="D16" r:id="rId3" xr:uid="{C7B36E74-4491-4CC4-9DF6-008B792320D4}"/>
    <hyperlink ref="D35" r:id="rId4" xr:uid="{627C3E88-A06E-4191-B866-ABD7FE32279D}"/>
  </hyperlinks>
  <pageMargins left="0.7" right="0.7" top="0.78740157499999996" bottom="0.78740157499999996" header="0.3" footer="0.3"/>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AF80-8A28-49C1-9E97-0B5BFAA42A12}">
  <dimension ref="B1:R97"/>
  <sheetViews>
    <sheetView topLeftCell="F1" zoomScaleNormal="100" workbookViewId="0">
      <pane ySplit="1" topLeftCell="A9" activePane="bottomLeft" state="frozen"/>
      <selection pane="bottomLeft" activeCell="B95" sqref="B95"/>
    </sheetView>
  </sheetViews>
  <sheetFormatPr baseColWidth="10" defaultRowHeight="15" x14ac:dyDescent="0.25"/>
  <cols>
    <col min="2" max="2" width="13.5703125" style="7" customWidth="1"/>
    <col min="3" max="3" width="9.42578125" style="7" bestFit="1" customWidth="1"/>
    <col min="4" max="4" width="16.140625" style="7" bestFit="1" customWidth="1"/>
    <col min="5" max="5" width="14.140625" style="7" bestFit="1" customWidth="1"/>
    <col min="6" max="6" width="13.42578125" style="7" bestFit="1" customWidth="1"/>
    <col min="7" max="7" width="9.42578125" style="7" bestFit="1" customWidth="1"/>
    <col min="9" max="9" width="30.85546875" bestFit="1" customWidth="1"/>
    <col min="10" max="10" width="9.85546875" bestFit="1" customWidth="1"/>
    <col min="11" max="11" width="16.5703125" bestFit="1" customWidth="1"/>
  </cols>
  <sheetData>
    <row r="1" spans="2:11" x14ac:dyDescent="0.25">
      <c r="B1" s="122" t="s">
        <v>181</v>
      </c>
      <c r="C1" s="123" t="s">
        <v>10</v>
      </c>
      <c r="D1" s="123" t="s">
        <v>11</v>
      </c>
      <c r="E1" s="123" t="s">
        <v>183</v>
      </c>
      <c r="F1" s="123" t="s">
        <v>184</v>
      </c>
      <c r="G1" s="123" t="s">
        <v>169</v>
      </c>
      <c r="H1" s="72"/>
      <c r="I1" s="19"/>
    </row>
    <row r="2" spans="2:11" x14ac:dyDescent="0.25">
      <c r="B2" s="4" t="s">
        <v>182</v>
      </c>
      <c r="C2" s="5"/>
      <c r="D2" s="5"/>
      <c r="E2" s="74"/>
      <c r="F2" s="74"/>
      <c r="G2" s="109"/>
      <c r="I2" s="19"/>
    </row>
    <row r="3" spans="2:11" x14ac:dyDescent="0.25">
      <c r="B3" s="6" t="s">
        <v>33</v>
      </c>
      <c r="C3" s="7">
        <v>100</v>
      </c>
      <c r="D3" s="7">
        <v>76</v>
      </c>
      <c r="E3" s="75">
        <v>2.5</v>
      </c>
      <c r="F3" s="75">
        <f>D3/Berechnung!$C$12</f>
        <v>4.0598290598290605</v>
      </c>
      <c r="G3" s="13">
        <f>Berechnung!$B$16/1000000*D3</f>
        <v>1.5124E-2</v>
      </c>
      <c r="I3" t="s">
        <v>85</v>
      </c>
    </row>
    <row r="4" spans="2:11" x14ac:dyDescent="0.25">
      <c r="B4" s="6" t="s">
        <v>34</v>
      </c>
      <c r="C4" s="7">
        <v>100</v>
      </c>
      <c r="D4" s="7">
        <v>85</v>
      </c>
      <c r="E4" s="75">
        <v>2.8</v>
      </c>
      <c r="F4" s="75">
        <f>D4/Berechnung!$C$12</f>
        <v>4.5405982905982905</v>
      </c>
      <c r="G4" s="13">
        <f>Berechnung!$B$16/1000000*D4</f>
        <v>1.6914999999999999E-2</v>
      </c>
      <c r="I4" t="s">
        <v>89</v>
      </c>
      <c r="J4" s="27">
        <v>500</v>
      </c>
    </row>
    <row r="5" spans="2:11" x14ac:dyDescent="0.25">
      <c r="B5" s="6" t="s">
        <v>36</v>
      </c>
      <c r="C5" s="7">
        <v>100</v>
      </c>
      <c r="D5" s="7">
        <v>244</v>
      </c>
      <c r="E5" s="75">
        <v>8</v>
      </c>
      <c r="F5" s="75">
        <f>D5/Berechnung!$C$12</f>
        <v>13.034188034188036</v>
      </c>
      <c r="G5" s="13">
        <f>Berechnung!$B$16/1000000*D5</f>
        <v>4.8556000000000002E-2</v>
      </c>
      <c r="I5" s="20" t="s">
        <v>81</v>
      </c>
      <c r="J5" s="16" t="s">
        <v>10</v>
      </c>
      <c r="K5" s="17" t="s">
        <v>11</v>
      </c>
    </row>
    <row r="6" spans="2:11" x14ac:dyDescent="0.25">
      <c r="B6" s="10" t="s">
        <v>37</v>
      </c>
      <c r="C6" s="12">
        <v>100</v>
      </c>
      <c r="D6" s="12">
        <v>67</v>
      </c>
      <c r="E6" s="108">
        <v>2.2000000000000002</v>
      </c>
      <c r="F6" s="108">
        <f>D6/Berechnung!$C$12</f>
        <v>3.5790598290598292</v>
      </c>
      <c r="G6" s="15">
        <f>Berechnung!$B$16/1000000*D6</f>
        <v>1.3333000000000001E-2</v>
      </c>
      <c r="I6" s="6" t="s">
        <v>79</v>
      </c>
      <c r="J6" s="28">
        <f>0.25*J4</f>
        <v>125</v>
      </c>
      <c r="K6" s="22">
        <f>D13/100*J6</f>
        <v>147.375</v>
      </c>
    </row>
    <row r="7" spans="2:11" x14ac:dyDescent="0.25">
      <c r="B7" s="6" t="s">
        <v>38</v>
      </c>
      <c r="C7" s="7">
        <v>100</v>
      </c>
      <c r="D7" s="7">
        <v>137</v>
      </c>
      <c r="E7" s="75">
        <v>4.5</v>
      </c>
      <c r="F7" s="75">
        <f>D7/Berechnung!$C$12</f>
        <v>7.318376068376069</v>
      </c>
      <c r="G7" s="13">
        <f>Berechnung!$B$16/1000000*D7</f>
        <v>2.7263000000000003E-2</v>
      </c>
      <c r="I7" s="6" t="s">
        <v>78</v>
      </c>
      <c r="J7" s="28">
        <f>0.25*J4</f>
        <v>125</v>
      </c>
      <c r="K7" s="22">
        <f>D39/100*J7</f>
        <v>228.80434782608694</v>
      </c>
    </row>
    <row r="8" spans="2:11" x14ac:dyDescent="0.25">
      <c r="B8" s="6" t="s">
        <v>39</v>
      </c>
      <c r="C8" s="7">
        <v>100</v>
      </c>
      <c r="D8" s="7">
        <v>79</v>
      </c>
      <c r="E8" s="75">
        <v>2.6</v>
      </c>
      <c r="F8" s="75">
        <f>D8/Berechnung!$C$12</f>
        <v>4.2200854700854702</v>
      </c>
      <c r="G8" s="13">
        <f>Berechnung!$B$16/1000000*D8</f>
        <v>1.5721000000000002E-2</v>
      </c>
      <c r="I8" s="6" t="s">
        <v>81</v>
      </c>
      <c r="J8" s="28">
        <f>0.5*J4</f>
        <v>250</v>
      </c>
      <c r="K8" s="22">
        <f>D54/100*J8</f>
        <v>4654.6428571428569</v>
      </c>
    </row>
    <row r="9" spans="2:11" x14ac:dyDescent="0.25">
      <c r="B9" s="6" t="s">
        <v>40</v>
      </c>
      <c r="C9" s="7">
        <v>100</v>
      </c>
      <c r="D9" s="7">
        <v>137</v>
      </c>
      <c r="E9" s="75">
        <v>4.5</v>
      </c>
      <c r="F9" s="75">
        <f>D9/Berechnung!$C$12</f>
        <v>7.318376068376069</v>
      </c>
      <c r="G9" s="13">
        <f>Berechnung!$B$16/1000000*D9</f>
        <v>2.7263000000000003E-2</v>
      </c>
      <c r="I9" s="23" t="s">
        <v>86</v>
      </c>
      <c r="J9" s="29">
        <f>SUM(J6:J8)</f>
        <v>500</v>
      </c>
      <c r="K9" s="24">
        <f>SUM(K6:K8)</f>
        <v>5030.8222049689439</v>
      </c>
    </row>
    <row r="10" spans="2:11" x14ac:dyDescent="0.25">
      <c r="B10" s="6" t="s">
        <v>41</v>
      </c>
      <c r="C10" s="7">
        <v>100</v>
      </c>
      <c r="D10" s="7">
        <v>82</v>
      </c>
      <c r="E10" s="75">
        <v>2.7</v>
      </c>
      <c r="F10" s="75">
        <f>D10/Berechnung!$C$12</f>
        <v>4.3803418803418808</v>
      </c>
      <c r="G10" s="13">
        <f>Berechnung!$B$16/1000000*D10</f>
        <v>1.6318000000000003E-2</v>
      </c>
      <c r="I10" s="7"/>
      <c r="J10" s="21"/>
      <c r="K10" s="18" t="s">
        <v>1</v>
      </c>
    </row>
    <row r="11" spans="2:11" x14ac:dyDescent="0.25">
      <c r="B11" s="6" t="s">
        <v>42</v>
      </c>
      <c r="C11" s="7">
        <v>100</v>
      </c>
      <c r="D11" s="7">
        <v>135</v>
      </c>
      <c r="E11" s="75">
        <v>4.4000000000000004</v>
      </c>
      <c r="F11" s="75">
        <f>D11/Berechnung!$C$12</f>
        <v>7.2115384615384617</v>
      </c>
      <c r="G11" s="13">
        <f>Berechnung!$B$16/1000000*D11</f>
        <v>2.6865E-2</v>
      </c>
      <c r="J11" s="2"/>
    </row>
    <row r="12" spans="2:11" x14ac:dyDescent="0.25">
      <c r="B12" s="6" t="s">
        <v>43</v>
      </c>
      <c r="C12" s="7">
        <v>100</v>
      </c>
      <c r="D12" s="7">
        <v>137</v>
      </c>
      <c r="E12" s="75">
        <v>4.5</v>
      </c>
      <c r="F12" s="75">
        <f>D12/Berechnung!$C$12</f>
        <v>7.318376068376069</v>
      </c>
      <c r="G12" s="13">
        <f>Berechnung!$B$16/1000000*D12</f>
        <v>2.7263000000000003E-2</v>
      </c>
      <c r="I12" s="20" t="s">
        <v>84</v>
      </c>
      <c r="J12" s="16" t="s">
        <v>10</v>
      </c>
      <c r="K12" s="17" t="s">
        <v>11</v>
      </c>
    </row>
    <row r="13" spans="2:11" x14ac:dyDescent="0.25">
      <c r="B13" s="110" t="s">
        <v>178</v>
      </c>
      <c r="C13" s="111"/>
      <c r="D13" s="112">
        <f>AVERAGE(D3:D12)</f>
        <v>117.9</v>
      </c>
      <c r="E13" s="113">
        <f>AVERAGE(E3:E12)</f>
        <v>3.87</v>
      </c>
      <c r="F13" s="114">
        <f>D13/Berechnung!$C$12</f>
        <v>6.2980769230769234</v>
      </c>
      <c r="G13" s="85">
        <f>Berechnung!$B$16/1000000*D13</f>
        <v>2.3462100000000003E-2</v>
      </c>
      <c r="I13" s="6" t="s">
        <v>79</v>
      </c>
      <c r="J13" s="28">
        <f>J4*0.25</f>
        <v>125</v>
      </c>
      <c r="K13" s="22">
        <f>D13/100*J13</f>
        <v>147.375</v>
      </c>
    </row>
    <row r="14" spans="2:11" x14ac:dyDescent="0.25">
      <c r="E14" s="75"/>
      <c r="F14" s="75"/>
      <c r="G14" s="107"/>
      <c r="I14" s="6" t="s">
        <v>78</v>
      </c>
      <c r="J14" s="28">
        <f>J4*0.25</f>
        <v>125</v>
      </c>
      <c r="K14" s="22">
        <f>D39/100*J14</f>
        <v>228.80434782608694</v>
      </c>
    </row>
    <row r="15" spans="2:11" x14ac:dyDescent="0.25">
      <c r="B15" s="4" t="s">
        <v>78</v>
      </c>
      <c r="C15" s="5"/>
      <c r="D15" s="5"/>
      <c r="E15" s="74"/>
      <c r="F15" s="74"/>
      <c r="G15" s="115"/>
      <c r="I15" s="6" t="s">
        <v>84</v>
      </c>
      <c r="J15" s="28">
        <f>J4*0.5</f>
        <v>250</v>
      </c>
      <c r="K15" s="22">
        <f>D65/100*J15</f>
        <v>1081.25</v>
      </c>
    </row>
    <row r="16" spans="2:11" x14ac:dyDescent="0.25">
      <c r="B16" s="6" t="s">
        <v>55</v>
      </c>
      <c r="C16" s="7">
        <v>100</v>
      </c>
      <c r="D16" s="7">
        <v>703</v>
      </c>
      <c r="E16" s="75">
        <v>23.1</v>
      </c>
      <c r="F16" s="75">
        <f>D16/Berechnung!$C$12</f>
        <v>37.553418803418808</v>
      </c>
      <c r="G16" s="13">
        <f>Berechnung!$B$16/1000000*D16</f>
        <v>0.13989700000000002</v>
      </c>
      <c r="I16" s="23" t="s">
        <v>86</v>
      </c>
      <c r="J16" s="29">
        <f>SUM(J13:J15)</f>
        <v>500</v>
      </c>
      <c r="K16" s="24">
        <f>SUM(K13:K15)</f>
        <v>1457.429347826087</v>
      </c>
    </row>
    <row r="17" spans="2:13" x14ac:dyDescent="0.25">
      <c r="B17" s="6" t="s">
        <v>56</v>
      </c>
      <c r="C17" s="7">
        <v>100</v>
      </c>
      <c r="D17" s="7">
        <v>310</v>
      </c>
      <c r="E17" s="75">
        <v>10.199999999999999</v>
      </c>
      <c r="F17" s="75">
        <f>D17/Berechnung!$C$12</f>
        <v>16.55982905982906</v>
      </c>
      <c r="G17" s="13">
        <f>Berechnung!$B$16/1000000*D17</f>
        <v>6.1690000000000002E-2</v>
      </c>
      <c r="I17" s="7"/>
      <c r="J17" s="21"/>
      <c r="K17" s="19"/>
    </row>
    <row r="18" spans="2:13" x14ac:dyDescent="0.25">
      <c r="B18" s="6" t="s">
        <v>57</v>
      </c>
      <c r="C18" s="7">
        <v>100</v>
      </c>
      <c r="D18" s="7">
        <v>114</v>
      </c>
      <c r="E18" s="75">
        <v>3.7</v>
      </c>
      <c r="F18" s="75">
        <f>D18/Berechnung!$C$12</f>
        <v>6.0897435897435903</v>
      </c>
      <c r="G18" s="13">
        <f>Berechnung!$B$16/1000000*D18</f>
        <v>2.2686000000000001E-2</v>
      </c>
      <c r="J18" s="2"/>
    </row>
    <row r="19" spans="2:13" x14ac:dyDescent="0.25">
      <c r="B19" s="6" t="s">
        <v>32</v>
      </c>
      <c r="C19" s="7">
        <v>100</v>
      </c>
      <c r="D19" s="7">
        <v>85</v>
      </c>
      <c r="E19" s="75">
        <v>2.8</v>
      </c>
      <c r="F19" s="75">
        <f>D19/Berechnung!$C$12</f>
        <v>4.5405982905982905</v>
      </c>
      <c r="G19" s="13">
        <f>Berechnung!$B$16/1000000*D19</f>
        <v>1.6914999999999999E-2</v>
      </c>
      <c r="I19" s="20" t="s">
        <v>90</v>
      </c>
      <c r="J19" s="16" t="s">
        <v>10</v>
      </c>
      <c r="K19" s="17" t="s">
        <v>11</v>
      </c>
    </row>
    <row r="20" spans="2:13" x14ac:dyDescent="0.25">
      <c r="B20" s="6" t="s">
        <v>58</v>
      </c>
      <c r="C20" s="7">
        <v>100</v>
      </c>
      <c r="D20" s="7">
        <v>108</v>
      </c>
      <c r="E20" s="75">
        <v>3.5</v>
      </c>
      <c r="F20" s="75">
        <f>D20/Berechnung!$C$12</f>
        <v>5.7692307692307692</v>
      </c>
      <c r="G20" s="13">
        <f>Berechnung!$B$16/1000000*D20</f>
        <v>2.1492000000000001E-2</v>
      </c>
      <c r="I20" s="6" t="s">
        <v>79</v>
      </c>
      <c r="J20" s="30">
        <f>0.3*J4</f>
        <v>150</v>
      </c>
      <c r="K20" s="33">
        <f>D13/100*J20</f>
        <v>176.85</v>
      </c>
    </row>
    <row r="21" spans="2:13" x14ac:dyDescent="0.25">
      <c r="B21" s="6" t="s">
        <v>59</v>
      </c>
      <c r="C21" s="7">
        <v>100</v>
      </c>
      <c r="D21" s="7">
        <v>62</v>
      </c>
      <c r="E21" s="75">
        <v>2</v>
      </c>
      <c r="F21" s="75">
        <f>D21/Berechnung!$C$12</f>
        <v>3.3119658119658122</v>
      </c>
      <c r="G21" s="13">
        <f>Berechnung!$B$16/1000000*D21</f>
        <v>1.2338E-2</v>
      </c>
      <c r="I21" s="6" t="s">
        <v>78</v>
      </c>
      <c r="J21" s="30">
        <f>0.5*J4</f>
        <v>250</v>
      </c>
      <c r="K21" s="33">
        <f>D39/100*J21</f>
        <v>457.60869565217388</v>
      </c>
    </row>
    <row r="22" spans="2:13" x14ac:dyDescent="0.25">
      <c r="B22" s="6" t="s">
        <v>60</v>
      </c>
      <c r="C22" s="7">
        <v>100</v>
      </c>
      <c r="D22" s="7">
        <v>113</v>
      </c>
      <c r="E22" s="75">
        <v>3.7</v>
      </c>
      <c r="F22" s="75">
        <f>D22/Berechnung!$C$12</f>
        <v>6.0363247863247871</v>
      </c>
      <c r="G22" s="13">
        <f>Berechnung!$B$16/1000000*D22</f>
        <v>2.2487E-2</v>
      </c>
      <c r="I22" s="10" t="s">
        <v>109</v>
      </c>
      <c r="J22" s="7">
        <f>0.2*J4</f>
        <v>100</v>
      </c>
      <c r="K22" s="33">
        <f>D76/100*J22</f>
        <v>386.75</v>
      </c>
    </row>
    <row r="23" spans="2:13" x14ac:dyDescent="0.25">
      <c r="B23" s="6" t="s">
        <v>61</v>
      </c>
      <c r="C23" s="7">
        <v>100</v>
      </c>
      <c r="D23" s="7">
        <v>97</v>
      </c>
      <c r="E23" s="75">
        <v>3.2</v>
      </c>
      <c r="F23" s="75">
        <f>D23/Berechnung!$C$12</f>
        <v>5.1816239316239319</v>
      </c>
      <c r="G23" s="13">
        <f>Berechnung!$B$16/1000000*D23</f>
        <v>1.9303000000000001E-2</v>
      </c>
      <c r="I23" s="23" t="s">
        <v>86</v>
      </c>
      <c r="J23" s="29">
        <f>SUM(J20:J22)</f>
        <v>500</v>
      </c>
      <c r="K23" s="24">
        <f>SUM(K20:K22)</f>
        <v>1021.2086956521739</v>
      </c>
    </row>
    <row r="24" spans="2:13" x14ac:dyDescent="0.25">
      <c r="B24" s="6" t="s">
        <v>35</v>
      </c>
      <c r="C24" s="7">
        <v>100</v>
      </c>
      <c r="D24" s="7">
        <v>41</v>
      </c>
      <c r="E24" s="75">
        <v>1.3</v>
      </c>
      <c r="F24" s="75">
        <f>D24/Berechnung!$C$12</f>
        <v>2.1901709401709404</v>
      </c>
      <c r="G24" s="13">
        <f>Berechnung!$B$16/1000000*D24</f>
        <v>8.1590000000000013E-3</v>
      </c>
    </row>
    <row r="25" spans="2:13" x14ac:dyDescent="0.25">
      <c r="B25" s="6" t="s">
        <v>62</v>
      </c>
      <c r="C25" s="7">
        <v>100</v>
      </c>
      <c r="D25" s="7">
        <v>193</v>
      </c>
      <c r="E25" s="75">
        <v>6.3</v>
      </c>
      <c r="F25" s="75">
        <f>D25/Berechnung!$C$12</f>
        <v>10.30982905982906</v>
      </c>
      <c r="G25" s="13">
        <f>Berechnung!$B$16/1000000*D25</f>
        <v>3.8407000000000004E-2</v>
      </c>
      <c r="I25" s="25" t="s">
        <v>88</v>
      </c>
      <c r="J25" s="31">
        <f>AVERAGE(J9,J16)</f>
        <v>500</v>
      </c>
      <c r="K25" s="34">
        <f>AVERAGE(K16,K9)</f>
        <v>3244.1257763975154</v>
      </c>
    </row>
    <row r="26" spans="2:13" x14ac:dyDescent="0.25">
      <c r="B26" s="6" t="s">
        <v>63</v>
      </c>
      <c r="C26" s="7">
        <v>100</v>
      </c>
      <c r="D26" s="7">
        <v>45</v>
      </c>
      <c r="E26" s="75">
        <v>1.5</v>
      </c>
      <c r="F26" s="75">
        <f>D26/Berechnung!$C$12</f>
        <v>2.4038461538461542</v>
      </c>
      <c r="G26" s="13">
        <f>Berechnung!$B$16/1000000*D26</f>
        <v>8.9550000000000012E-3</v>
      </c>
      <c r="I26" s="26" t="s">
        <v>87</v>
      </c>
      <c r="J26" s="32">
        <f>J23</f>
        <v>500</v>
      </c>
      <c r="K26" s="35">
        <f>K23</f>
        <v>1021.2086956521739</v>
      </c>
    </row>
    <row r="27" spans="2:13" x14ac:dyDescent="0.25">
      <c r="B27" s="6" t="s">
        <v>64</v>
      </c>
      <c r="C27" s="7">
        <v>100</v>
      </c>
      <c r="D27" s="7">
        <v>45</v>
      </c>
      <c r="E27" s="75">
        <v>1.5</v>
      </c>
      <c r="F27" s="75">
        <f>D27/Berechnung!$C$12</f>
        <v>2.4038461538461542</v>
      </c>
      <c r="G27" s="13">
        <f>Berechnung!$B$16/1000000*D27</f>
        <v>8.9550000000000012E-3</v>
      </c>
    </row>
    <row r="28" spans="2:13" x14ac:dyDescent="0.25">
      <c r="B28" s="6" t="s">
        <v>65</v>
      </c>
      <c r="C28" s="7">
        <v>100</v>
      </c>
      <c r="D28" s="7">
        <v>467</v>
      </c>
      <c r="E28" s="75">
        <v>18.600000000000001</v>
      </c>
      <c r="F28" s="75">
        <f>D28/Berechnung!$C$12</f>
        <v>24.946581196581199</v>
      </c>
      <c r="G28" s="13">
        <f>Berechnung!$B$16/1000000*D28</f>
        <v>9.2933000000000002E-2</v>
      </c>
    </row>
    <row r="29" spans="2:13" x14ac:dyDescent="0.25">
      <c r="B29" s="6" t="s">
        <v>66</v>
      </c>
      <c r="C29" s="7">
        <v>100</v>
      </c>
      <c r="D29" s="7">
        <v>161</v>
      </c>
      <c r="E29" s="75">
        <v>5.3</v>
      </c>
      <c r="F29" s="75">
        <f>D29/Berechnung!$C$12</f>
        <v>8.600427350427351</v>
      </c>
      <c r="G29" s="13">
        <f>Berechnung!$B$16/1000000*D29</f>
        <v>3.2039000000000005E-2</v>
      </c>
    </row>
    <row r="30" spans="2:13" x14ac:dyDescent="0.25">
      <c r="B30" s="6" t="s">
        <v>67</v>
      </c>
      <c r="C30" s="7">
        <v>100</v>
      </c>
      <c r="D30" s="7">
        <v>140</v>
      </c>
      <c r="E30" s="75">
        <v>4.5999999999999996</v>
      </c>
      <c r="F30" s="75">
        <f>D30/Berechnung!$C$12</f>
        <v>7.4786324786324787</v>
      </c>
      <c r="G30" s="13">
        <f>Berechnung!$B$16/1000000*D30</f>
        <v>2.7860000000000003E-2</v>
      </c>
      <c r="M30" s="73"/>
    </row>
    <row r="31" spans="2:13" x14ac:dyDescent="0.25">
      <c r="B31" s="6" t="s">
        <v>68</v>
      </c>
      <c r="C31" s="7">
        <v>100</v>
      </c>
      <c r="D31" s="7">
        <v>105</v>
      </c>
      <c r="E31" s="75">
        <v>3.4</v>
      </c>
      <c r="F31" s="75">
        <f>D31/Berechnung!$C$12</f>
        <v>5.6089743589743595</v>
      </c>
      <c r="G31" s="13">
        <f>Berechnung!$B$16/1000000*D31</f>
        <v>2.0895E-2</v>
      </c>
      <c r="M31" s="73"/>
    </row>
    <row r="32" spans="2:13" x14ac:dyDescent="0.25">
      <c r="B32" s="6" t="s">
        <v>69</v>
      </c>
      <c r="C32" s="7">
        <v>100</v>
      </c>
      <c r="D32" s="7">
        <v>423</v>
      </c>
      <c r="E32" s="75">
        <v>13.9</v>
      </c>
      <c r="F32" s="75">
        <f>D32/Berechnung!$C$12</f>
        <v>22.596153846153847</v>
      </c>
      <c r="G32" s="13">
        <f>Berechnung!$B$16/1000000*D32</f>
        <v>8.4177000000000002E-2</v>
      </c>
      <c r="M32" s="73"/>
    </row>
    <row r="33" spans="2:18" x14ac:dyDescent="0.25">
      <c r="B33" s="6" t="s">
        <v>70</v>
      </c>
      <c r="C33" s="7">
        <v>100</v>
      </c>
      <c r="D33" s="7">
        <v>202</v>
      </c>
      <c r="E33" s="75">
        <v>6.6</v>
      </c>
      <c r="F33" s="75">
        <f>D33/Berechnung!$C$12</f>
        <v>10.790598290598291</v>
      </c>
      <c r="G33" s="13">
        <f>Berechnung!$B$16/1000000*D33</f>
        <v>4.0198000000000005E-2</v>
      </c>
      <c r="M33" s="73"/>
    </row>
    <row r="34" spans="2:18" x14ac:dyDescent="0.25">
      <c r="B34" s="6" t="s">
        <v>54</v>
      </c>
      <c r="C34" s="7">
        <v>100</v>
      </c>
      <c r="D34" s="7">
        <v>127</v>
      </c>
      <c r="E34" s="75">
        <v>4.2</v>
      </c>
      <c r="F34" s="75">
        <f>D34/Berechnung!$C$12</f>
        <v>6.784188034188035</v>
      </c>
      <c r="G34" s="13">
        <f>Berechnung!$B$16/1000000*D34</f>
        <v>2.5273E-2</v>
      </c>
    </row>
    <row r="35" spans="2:18" x14ac:dyDescent="0.25">
      <c r="B35" s="6" t="s">
        <v>71</v>
      </c>
      <c r="C35" s="7">
        <v>100</v>
      </c>
      <c r="D35" s="7">
        <v>146</v>
      </c>
      <c r="E35" s="75">
        <v>4.8</v>
      </c>
      <c r="F35" s="75">
        <f>D35/Berechnung!$C$12</f>
        <v>7.7991452991452999</v>
      </c>
      <c r="G35" s="13">
        <f>Berechnung!$B$16/1000000*D35</f>
        <v>2.9054000000000003E-2</v>
      </c>
    </row>
    <row r="36" spans="2:18" x14ac:dyDescent="0.25">
      <c r="B36" s="6" t="s">
        <v>72</v>
      </c>
      <c r="C36" s="7">
        <v>100</v>
      </c>
      <c r="D36" s="7">
        <v>105</v>
      </c>
      <c r="E36" s="75">
        <v>3.4</v>
      </c>
      <c r="F36" s="75">
        <f>D36/Berechnung!$C$12</f>
        <v>5.6089743589743595</v>
      </c>
      <c r="G36" s="13">
        <f>Berechnung!$B$16/1000000*D36</f>
        <v>2.0895E-2</v>
      </c>
    </row>
    <row r="37" spans="2:18" x14ac:dyDescent="0.25">
      <c r="B37" s="10" t="s">
        <v>28</v>
      </c>
      <c r="C37" s="12">
        <v>100</v>
      </c>
      <c r="D37" s="12">
        <v>291</v>
      </c>
      <c r="E37" s="108">
        <v>9.6</v>
      </c>
      <c r="F37" s="75">
        <f>D37/Berechnung!$C$12</f>
        <v>15.544871794871796</v>
      </c>
      <c r="G37" s="13">
        <f>Berechnung!$B$16/1000000*D37</f>
        <v>5.7909000000000002E-2</v>
      </c>
    </row>
    <row r="38" spans="2:18" x14ac:dyDescent="0.25">
      <c r="B38" s="6" t="s">
        <v>53</v>
      </c>
      <c r="C38" s="7">
        <v>100</v>
      </c>
      <c r="D38" s="7">
        <v>127</v>
      </c>
      <c r="E38" s="75">
        <v>4.2</v>
      </c>
      <c r="F38" s="75">
        <f>D38/Berechnung!$C$12</f>
        <v>6.784188034188035</v>
      </c>
      <c r="G38" s="13">
        <f>Berechnung!$B$16/1000000*D38</f>
        <v>2.5273E-2</v>
      </c>
      <c r="I38" s="146"/>
      <c r="J38" s="148" t="s">
        <v>10</v>
      </c>
      <c r="K38" s="146" t="s">
        <v>11</v>
      </c>
      <c r="L38" s="147"/>
      <c r="M38" s="146" t="s">
        <v>157</v>
      </c>
      <c r="N38" s="147"/>
      <c r="O38" s="146" t="s">
        <v>185</v>
      </c>
      <c r="P38" s="147"/>
      <c r="Q38" s="146" t="s">
        <v>153</v>
      </c>
      <c r="R38" s="147"/>
    </row>
    <row r="39" spans="2:18" x14ac:dyDescent="0.25">
      <c r="B39" s="23" t="s">
        <v>178</v>
      </c>
      <c r="C39" s="117">
        <f>AVERAGE(C16:C38)</f>
        <v>100</v>
      </c>
      <c r="D39" s="117">
        <f>AVERAGE(D16:D38)</f>
        <v>183.04347826086956</v>
      </c>
      <c r="E39" s="117">
        <f>AVERAGE(E16:E38)</f>
        <v>6.1478260869565222</v>
      </c>
      <c r="F39" s="118">
        <f>D39/Berechnung!$C$12</f>
        <v>9.7779635823114095</v>
      </c>
      <c r="G39" s="85">
        <f>Berechnung!$B$16/1000000*D39</f>
        <v>3.6425652173913046E-2</v>
      </c>
      <c r="I39" s="150"/>
      <c r="J39" s="149"/>
      <c r="K39" s="78" t="s">
        <v>83</v>
      </c>
      <c r="L39" s="39" t="s">
        <v>108</v>
      </c>
      <c r="M39" s="78" t="s">
        <v>83</v>
      </c>
      <c r="N39" s="39" t="s">
        <v>108</v>
      </c>
      <c r="O39" s="78" t="s">
        <v>83</v>
      </c>
      <c r="P39" s="39" t="s">
        <v>108</v>
      </c>
      <c r="Q39" s="78" t="s">
        <v>83</v>
      </c>
      <c r="R39" s="39" t="s">
        <v>108</v>
      </c>
    </row>
    <row r="40" spans="2:18" x14ac:dyDescent="0.25">
      <c r="E40" s="75"/>
      <c r="F40" s="75"/>
      <c r="G40" s="107"/>
      <c r="I40" s="37" t="s">
        <v>107</v>
      </c>
      <c r="J40" s="128">
        <v>1000</v>
      </c>
      <c r="K40" s="127">
        <f>AVERAGE(D47:D53,D57:D64)/100*J40</f>
        <v>10995.333333333332</v>
      </c>
      <c r="L40" s="38">
        <f>_xlfn.STDEV.P(D47:D53,D57:D64)/100*J40</f>
        <v>13434.110746735549</v>
      </c>
      <c r="M40" s="125">
        <f>AVERAGE(E47:E53,E57:E64)/100*J40</f>
        <v>361.13333333333338</v>
      </c>
      <c r="N40" s="34">
        <f>_xlfn.STDEV.P(E47:E53,E57:E64)/100*J40</f>
        <v>441.18217955347603</v>
      </c>
      <c r="O40" s="125">
        <f>AVERAGE(F47:F53,F57:F64)/100*J40</f>
        <v>587.35754985754988</v>
      </c>
      <c r="P40" s="34">
        <f>_xlfn.STDEV.P(F47:F53,F57:F64)/100*J40</f>
        <v>717.63412108630075</v>
      </c>
      <c r="Q40" s="125">
        <f>AVERAGE(G47:G53,G57:G64)/100*J40</f>
        <v>2.1880713333333337</v>
      </c>
      <c r="R40" s="34">
        <f>_xlfn.STDEV.P(G47:G53,G57:G64)/100*J40</f>
        <v>2.6733880386003737</v>
      </c>
    </row>
    <row r="41" spans="2:18" x14ac:dyDescent="0.25">
      <c r="B41" s="4" t="s">
        <v>80</v>
      </c>
      <c r="C41" s="5"/>
      <c r="D41" s="5"/>
      <c r="E41" s="74"/>
      <c r="F41" s="74"/>
      <c r="G41" s="115"/>
      <c r="I41" s="26" t="s">
        <v>110</v>
      </c>
      <c r="J41" s="129">
        <v>1000</v>
      </c>
      <c r="K41" s="126">
        <f>AVERAGE(D3:D12,D16:D38,D68:D75)/100*J41</f>
        <v>2069.0243902439024</v>
      </c>
      <c r="L41" s="35">
        <f>_xlfn.STDEV.P(D3:D12,D16:D38,D68:D75)/100*J41</f>
        <v>2111.4274501990108</v>
      </c>
      <c r="M41" s="126">
        <f>AVERAGE(E3:E12,E16:E38,E68:E75)/100*J41</f>
        <v>68.707317073170728</v>
      </c>
      <c r="N41" s="35">
        <f>_xlfn.STDEV.P(E3:E12,E16:E38,E68:E75)/100*J41</f>
        <v>70.495889484886419</v>
      </c>
      <c r="O41" s="126">
        <f>AVERAGE(F3:F12,F16:F38,F68:F75)/100*J41</f>
        <v>110.52480717114868</v>
      </c>
      <c r="P41" s="35">
        <f>_xlfn.STDEV.P(F3:F12,F16:F38,F68:F75)/100*J41</f>
        <v>112.78992789524629</v>
      </c>
      <c r="Q41" s="126">
        <f>AVERAGE(G3:G12,G16:G38,G68:G75)/100*J41</f>
        <v>0.41173585365853665</v>
      </c>
      <c r="R41" s="35">
        <f>_xlfn.STDEV.P(G3:G12,G16:G38,G68:G75)/100*J41</f>
        <v>0.42017406258960316</v>
      </c>
    </row>
    <row r="42" spans="2:18" x14ac:dyDescent="0.25">
      <c r="B42" s="6" t="s">
        <v>47</v>
      </c>
      <c r="C42" s="7">
        <v>100</v>
      </c>
      <c r="D42" s="7">
        <v>251</v>
      </c>
      <c r="E42" s="75">
        <v>8.1999999999999993</v>
      </c>
      <c r="F42" s="75">
        <f>D42/Berechnung!$C$12</f>
        <v>13.408119658119659</v>
      </c>
      <c r="G42" s="13">
        <f>Berechnung!$B$16/1000000*D42</f>
        <v>4.9949E-2</v>
      </c>
      <c r="L42" s="3"/>
      <c r="M42" s="3"/>
      <c r="N42" s="3"/>
      <c r="O42" s="3"/>
      <c r="P42" s="3"/>
      <c r="Q42" s="3"/>
    </row>
    <row r="43" spans="2:18" x14ac:dyDescent="0.25">
      <c r="B43" s="6" t="s">
        <v>50</v>
      </c>
      <c r="C43" s="7">
        <v>100</v>
      </c>
      <c r="D43" s="7">
        <v>186</v>
      </c>
      <c r="E43" s="75">
        <v>6.1</v>
      </c>
      <c r="F43" s="75">
        <f>D43/Berechnung!$C$12</f>
        <v>9.9358974358974361</v>
      </c>
      <c r="G43" s="13">
        <f>Berechnung!$B$16/1000000*D43</f>
        <v>3.7014000000000005E-2</v>
      </c>
      <c r="L43" s="3"/>
      <c r="M43" s="3"/>
      <c r="N43" s="3"/>
      <c r="O43" s="3"/>
      <c r="P43" s="3"/>
      <c r="Q43" s="3"/>
    </row>
    <row r="44" spans="2:18" x14ac:dyDescent="0.25">
      <c r="B44" s="23" t="s">
        <v>178</v>
      </c>
      <c r="C44" s="117">
        <f>AVERAGE(C42:C43)</f>
        <v>100</v>
      </c>
      <c r="D44" s="117">
        <f>AVERAGE(D42:D43)</f>
        <v>218.5</v>
      </c>
      <c r="E44" s="117">
        <f>AVERAGE(E42:E43)</f>
        <v>7.1499999999999995</v>
      </c>
      <c r="F44" s="118">
        <f>D44/Berechnung!$C$12</f>
        <v>11.672008547008547</v>
      </c>
      <c r="G44" s="85">
        <f>Berechnung!$B$16/1000000*D44</f>
        <v>4.3481499999999999E-2</v>
      </c>
      <c r="L44" s="3"/>
      <c r="M44" s="3"/>
      <c r="N44" s="3"/>
      <c r="O44" s="3"/>
      <c r="P44" s="3"/>
      <c r="Q44" s="3"/>
    </row>
    <row r="45" spans="2:18" x14ac:dyDescent="0.25">
      <c r="E45" s="75"/>
      <c r="F45" s="75"/>
      <c r="G45" s="107"/>
      <c r="L45" s="3"/>
      <c r="M45" s="3"/>
      <c r="N45" s="3"/>
      <c r="O45" s="3"/>
      <c r="P45" s="3"/>
      <c r="Q45" s="3"/>
    </row>
    <row r="46" spans="2:18" x14ac:dyDescent="0.25">
      <c r="B46" s="4" t="s">
        <v>81</v>
      </c>
      <c r="C46" s="5"/>
      <c r="D46" s="5"/>
      <c r="E46" s="74"/>
      <c r="F46" s="74"/>
      <c r="G46" s="115"/>
      <c r="L46" s="3"/>
      <c r="M46" s="3"/>
      <c r="N46" s="3"/>
      <c r="O46" s="3"/>
      <c r="P46" s="3"/>
      <c r="Q46" s="3"/>
    </row>
    <row r="47" spans="2:18" x14ac:dyDescent="0.25">
      <c r="B47" s="10" t="s">
        <v>44</v>
      </c>
      <c r="C47" s="12">
        <v>100</v>
      </c>
      <c r="D47" s="130">
        <v>4333</v>
      </c>
      <c r="E47" s="108">
        <v>142.30000000000001</v>
      </c>
      <c r="F47" s="108">
        <f>D47/Berechnung!$C$12</f>
        <v>231.46367521367523</v>
      </c>
      <c r="G47" s="15">
        <f>Berechnung!$B$16/1000000*D47</f>
        <v>0.86226700000000001</v>
      </c>
      <c r="L47" s="3"/>
      <c r="M47" s="3"/>
      <c r="N47" s="3"/>
      <c r="O47" s="3"/>
      <c r="P47" s="3"/>
      <c r="Q47" s="3"/>
    </row>
    <row r="48" spans="2:18" x14ac:dyDescent="0.25">
      <c r="B48" s="6" t="s">
        <v>45</v>
      </c>
      <c r="C48" s="7">
        <v>100</v>
      </c>
      <c r="D48" s="71">
        <v>471</v>
      </c>
      <c r="E48" s="75">
        <v>15.5</v>
      </c>
      <c r="F48" s="75">
        <f>D48/Berechnung!$C$12</f>
        <v>25.160256410256412</v>
      </c>
      <c r="G48" s="13">
        <f>Berechnung!$B$16/1000000*D48</f>
        <v>9.3729000000000007E-2</v>
      </c>
      <c r="I48" s="79"/>
      <c r="J48" s="79"/>
      <c r="K48" s="80"/>
      <c r="L48" s="80"/>
      <c r="N48" s="3"/>
      <c r="O48" s="3"/>
      <c r="P48" s="3"/>
      <c r="Q48" s="3"/>
    </row>
    <row r="49" spans="2:17" x14ac:dyDescent="0.25">
      <c r="B49" s="6" t="s">
        <v>46</v>
      </c>
      <c r="C49" s="7">
        <v>100</v>
      </c>
      <c r="D49" s="71">
        <v>505</v>
      </c>
      <c r="E49" s="75">
        <v>16.600000000000001</v>
      </c>
      <c r="F49" s="75">
        <f>D49/Berechnung!$C$12</f>
        <v>26.976495726495727</v>
      </c>
      <c r="G49" s="13">
        <f>Berechnung!$B$16/1000000*D49</f>
        <v>0.100495</v>
      </c>
      <c r="I49" s="79"/>
      <c r="J49" s="79"/>
      <c r="K49" s="83"/>
      <c r="L49" s="84"/>
      <c r="N49" s="3"/>
      <c r="O49" s="3"/>
      <c r="P49" s="3"/>
      <c r="Q49" s="3"/>
    </row>
    <row r="50" spans="2:17" x14ac:dyDescent="0.25">
      <c r="B50" s="6" t="s">
        <v>48</v>
      </c>
      <c r="C50" s="12">
        <v>100</v>
      </c>
      <c r="D50" s="71">
        <v>663</v>
      </c>
      <c r="E50" s="75">
        <v>21.8</v>
      </c>
      <c r="F50" s="75">
        <f>D50/Berechnung!$C$12</f>
        <v>35.416666666666671</v>
      </c>
      <c r="G50" s="13">
        <f>Berechnung!$B$16/1000000*D50</f>
        <v>0.131937</v>
      </c>
      <c r="I50" s="79"/>
      <c r="J50" s="79"/>
      <c r="K50" s="82"/>
      <c r="L50" s="84"/>
      <c r="M50" s="81"/>
      <c r="N50" s="3"/>
      <c r="O50" s="3"/>
      <c r="P50" s="3"/>
      <c r="Q50" s="3"/>
    </row>
    <row r="51" spans="2:17" x14ac:dyDescent="0.25">
      <c r="B51" s="6" t="s">
        <v>49</v>
      </c>
      <c r="C51" s="12">
        <v>100</v>
      </c>
      <c r="D51" s="71">
        <v>4333</v>
      </c>
      <c r="E51" s="75">
        <v>142.30000000000001</v>
      </c>
      <c r="F51" s="75">
        <f>D51/Berechnung!$C$12</f>
        <v>231.46367521367523</v>
      </c>
      <c r="G51" s="13">
        <f>Berechnung!$B$16/1000000*D51</f>
        <v>0.86226700000000001</v>
      </c>
      <c r="L51" s="3"/>
      <c r="M51" s="3"/>
      <c r="N51" s="3"/>
      <c r="O51" s="3"/>
      <c r="P51" s="3"/>
      <c r="Q51" s="3"/>
    </row>
    <row r="52" spans="2:17" x14ac:dyDescent="0.25">
      <c r="B52" s="6" t="s">
        <v>51</v>
      </c>
      <c r="C52" s="12">
        <v>100</v>
      </c>
      <c r="D52" s="71">
        <v>645</v>
      </c>
      <c r="E52" s="75">
        <v>21.2</v>
      </c>
      <c r="F52" s="75">
        <f>D52/Berechnung!$C$12</f>
        <v>34.455128205128204</v>
      </c>
      <c r="G52" s="13">
        <f>Berechnung!$B$16/1000000*D52</f>
        <v>0.128355</v>
      </c>
    </row>
    <row r="53" spans="2:17" x14ac:dyDescent="0.25">
      <c r="B53" s="6" t="s">
        <v>52</v>
      </c>
      <c r="C53" s="12">
        <v>100</v>
      </c>
      <c r="D53" s="71">
        <v>2083</v>
      </c>
      <c r="E53" s="75">
        <v>68.400000000000006</v>
      </c>
      <c r="F53" s="75">
        <f>D53/Berechnung!$C$12</f>
        <v>111.27136752136752</v>
      </c>
      <c r="G53" s="13">
        <f>Berechnung!$B$16/1000000*D53</f>
        <v>0.41451700000000002</v>
      </c>
    </row>
    <row r="54" spans="2:17" x14ac:dyDescent="0.25">
      <c r="B54" s="23" t="s">
        <v>178</v>
      </c>
      <c r="C54" s="117">
        <f>AVERAGE(C47:C53)</f>
        <v>100</v>
      </c>
      <c r="D54" s="117">
        <f>AVERAGE(D47:D53)</f>
        <v>1861.8571428571429</v>
      </c>
      <c r="E54" s="117">
        <f>AVERAGE(E47:E53)</f>
        <v>61.157142857142858</v>
      </c>
      <c r="F54" s="118">
        <f>D54/Berechnung!$C$12</f>
        <v>99.45818070818072</v>
      </c>
      <c r="G54" s="85">
        <f>Berechnung!$B$16/1000000*D54</f>
        <v>0.37050957142857144</v>
      </c>
    </row>
    <row r="55" spans="2:17" x14ac:dyDescent="0.25">
      <c r="E55" s="75"/>
      <c r="F55" s="75"/>
      <c r="G55" s="107"/>
    </row>
    <row r="56" spans="2:17" x14ac:dyDescent="0.25">
      <c r="B56" s="4" t="s">
        <v>84</v>
      </c>
      <c r="C56" s="5"/>
      <c r="D56" s="5"/>
      <c r="E56" s="74"/>
      <c r="F56" s="74"/>
      <c r="G56" s="115"/>
    </row>
    <row r="57" spans="2:17" x14ac:dyDescent="0.25">
      <c r="B57" s="6" t="s">
        <v>2</v>
      </c>
      <c r="C57" s="7">
        <v>100</v>
      </c>
      <c r="D57" s="7">
        <v>422</v>
      </c>
      <c r="E57" s="75">
        <v>13.9</v>
      </c>
      <c r="F57" s="75">
        <f>D57/Berechnung!$C$12</f>
        <v>22.542735042735043</v>
      </c>
      <c r="G57" s="13">
        <f>Berechnung!$B$16/1000000*D57</f>
        <v>8.3978000000000011E-2</v>
      </c>
    </row>
    <row r="58" spans="2:17" x14ac:dyDescent="0.25">
      <c r="B58" s="6" t="s">
        <v>3</v>
      </c>
      <c r="C58" s="7">
        <v>100</v>
      </c>
      <c r="D58" s="7">
        <v>321</v>
      </c>
      <c r="E58" s="75">
        <v>10.5</v>
      </c>
      <c r="F58" s="75">
        <f>D58/Berechnung!$C$12</f>
        <v>17.147435897435898</v>
      </c>
      <c r="G58" s="13">
        <f>Berechnung!$B$16/1000000*D58</f>
        <v>6.3879000000000005E-2</v>
      </c>
    </row>
    <row r="59" spans="2:17" x14ac:dyDescent="0.25">
      <c r="B59" s="6" t="s">
        <v>4</v>
      </c>
      <c r="C59" s="7">
        <v>100</v>
      </c>
      <c r="D59" s="7">
        <v>191</v>
      </c>
      <c r="E59" s="75">
        <v>6.3</v>
      </c>
      <c r="F59" s="75">
        <f>D59/Berechnung!$C$12</f>
        <v>10.202991452991453</v>
      </c>
      <c r="G59" s="13">
        <f>Berechnung!$B$16/1000000*D59</f>
        <v>3.8009000000000001E-2</v>
      </c>
    </row>
    <row r="60" spans="2:17" x14ac:dyDescent="0.25">
      <c r="B60" s="6" t="s">
        <v>5</v>
      </c>
      <c r="C60" s="7">
        <v>100</v>
      </c>
      <c r="D60" s="7">
        <v>436</v>
      </c>
      <c r="E60" s="75">
        <v>14.3</v>
      </c>
      <c r="F60" s="75">
        <f>D60/Berechnung!$C$12</f>
        <v>23.290598290598293</v>
      </c>
      <c r="G60" s="13">
        <f>Berechnung!$B$16/1000000*D60</f>
        <v>8.6764000000000008E-2</v>
      </c>
    </row>
    <row r="61" spans="2:17" x14ac:dyDescent="0.25">
      <c r="B61" s="6" t="s">
        <v>6</v>
      </c>
      <c r="C61" s="7">
        <v>100</v>
      </c>
      <c r="D61" s="7">
        <v>159</v>
      </c>
      <c r="E61" s="75">
        <v>5.2</v>
      </c>
      <c r="F61" s="75">
        <f>D61/Berechnung!$C$12</f>
        <v>8.4935897435897445</v>
      </c>
      <c r="G61" s="13">
        <f>Berechnung!$B$16/1000000*D61</f>
        <v>3.1641000000000002E-2</v>
      </c>
    </row>
    <row r="62" spans="2:17" x14ac:dyDescent="0.25">
      <c r="B62" s="6" t="s">
        <v>7</v>
      </c>
      <c r="C62" s="7">
        <v>100</v>
      </c>
      <c r="D62" s="7">
        <v>479</v>
      </c>
      <c r="E62" s="75">
        <v>15.7</v>
      </c>
      <c r="F62" s="75">
        <f>D62/Berechnung!$C$12</f>
        <v>25.587606837606838</v>
      </c>
      <c r="G62" s="13">
        <f>Berechnung!$B$16/1000000*D62</f>
        <v>9.5321000000000003E-2</v>
      </c>
    </row>
    <row r="63" spans="2:17" x14ac:dyDescent="0.25">
      <c r="B63" s="6" t="s">
        <v>8</v>
      </c>
      <c r="C63" s="7">
        <v>100</v>
      </c>
      <c r="D63" s="7">
        <v>436</v>
      </c>
      <c r="E63" s="75">
        <v>14.3</v>
      </c>
      <c r="F63" s="75">
        <f>D63/Berechnung!$C$12</f>
        <v>23.290598290598293</v>
      </c>
      <c r="G63" s="13">
        <f>Berechnung!$B$16/1000000*D63</f>
        <v>8.6764000000000008E-2</v>
      </c>
    </row>
    <row r="64" spans="2:17" x14ac:dyDescent="0.25">
      <c r="B64" s="6" t="s">
        <v>9</v>
      </c>
      <c r="C64" s="7">
        <v>100</v>
      </c>
      <c r="D64" s="7">
        <v>1016</v>
      </c>
      <c r="E64" s="75">
        <v>33.4</v>
      </c>
      <c r="F64" s="75">
        <f>D64/Berechnung!$C$12</f>
        <v>54.27350427350428</v>
      </c>
      <c r="G64" s="13">
        <f>Berechnung!$B$16/1000000*D64</f>
        <v>0.202184</v>
      </c>
    </row>
    <row r="65" spans="2:8" x14ac:dyDescent="0.25">
      <c r="B65" s="23" t="s">
        <v>178</v>
      </c>
      <c r="C65" s="117">
        <f>AVERAGE(C57:C64)</f>
        <v>100</v>
      </c>
      <c r="D65" s="117">
        <f>AVERAGE(D57:D64)</f>
        <v>432.5</v>
      </c>
      <c r="E65" s="117">
        <f>AVERAGE(E57:E64)</f>
        <v>14.2</v>
      </c>
      <c r="F65" s="118">
        <f>D65/Berechnung!$C$12</f>
        <v>23.10363247863248</v>
      </c>
      <c r="G65" s="85">
        <f>Berechnung!$B$16/1000000*D65</f>
        <v>8.6067500000000005E-2</v>
      </c>
    </row>
    <row r="66" spans="2:8" x14ac:dyDescent="0.25">
      <c r="E66" s="75"/>
      <c r="F66" s="75"/>
      <c r="G66" s="107"/>
    </row>
    <row r="67" spans="2:8" x14ac:dyDescent="0.25">
      <c r="B67" s="4" t="s">
        <v>19</v>
      </c>
      <c r="C67" s="5"/>
      <c r="D67" s="5"/>
      <c r="E67" s="74"/>
      <c r="F67" s="74"/>
      <c r="G67" s="115"/>
    </row>
    <row r="68" spans="2:8" x14ac:dyDescent="0.25">
      <c r="B68" s="6" t="s">
        <v>12</v>
      </c>
      <c r="C68" s="7">
        <v>100</v>
      </c>
      <c r="D68" s="7">
        <v>976</v>
      </c>
      <c r="E68" s="75">
        <v>32</v>
      </c>
      <c r="F68" s="75">
        <f>D68/Berechnung!$C$12</f>
        <v>52.136752136752143</v>
      </c>
      <c r="G68" s="13">
        <f>Berechnung!$B$16/1000000*D68</f>
        <v>0.19422400000000001</v>
      </c>
    </row>
    <row r="69" spans="2:8" x14ac:dyDescent="0.25">
      <c r="B69" s="6" t="s">
        <v>13</v>
      </c>
      <c r="C69" s="7">
        <v>100</v>
      </c>
      <c r="D69" s="7">
        <v>110</v>
      </c>
      <c r="E69" s="75">
        <v>3.6</v>
      </c>
      <c r="F69" s="75">
        <f>D69/Berechnung!$C$12</f>
        <v>5.8760683760683765</v>
      </c>
      <c r="G69" s="13">
        <f>Berechnung!$B$16/1000000*D69</f>
        <v>2.189E-2</v>
      </c>
    </row>
    <row r="70" spans="2:8" x14ac:dyDescent="0.25">
      <c r="B70" s="6" t="s">
        <v>14</v>
      </c>
      <c r="C70" s="7">
        <v>100</v>
      </c>
      <c r="D70" s="7">
        <v>879</v>
      </c>
      <c r="E70" s="75">
        <v>28.9</v>
      </c>
      <c r="F70" s="75">
        <f>D70/Berechnung!$C$12</f>
        <v>46.955128205128212</v>
      </c>
      <c r="G70" s="13">
        <f>Berechnung!$B$16/1000000*D70</f>
        <v>0.17492100000000002</v>
      </c>
    </row>
    <row r="71" spans="2:8" x14ac:dyDescent="0.25">
      <c r="B71" s="6" t="s">
        <v>15</v>
      </c>
      <c r="C71" s="7">
        <v>100</v>
      </c>
      <c r="D71" s="7">
        <v>176</v>
      </c>
      <c r="E71" s="75">
        <v>5.8</v>
      </c>
      <c r="F71" s="75">
        <f>D71/Berechnung!$C$12</f>
        <v>9.4017094017094021</v>
      </c>
      <c r="G71" s="13">
        <f>Berechnung!$B$16/1000000*D71</f>
        <v>3.5024E-2</v>
      </c>
    </row>
    <row r="72" spans="2:8" x14ac:dyDescent="0.25">
      <c r="B72" s="6" t="s">
        <v>16</v>
      </c>
      <c r="C72" s="7">
        <v>100</v>
      </c>
      <c r="D72" s="7">
        <v>32</v>
      </c>
      <c r="E72" s="75">
        <v>1.1000000000000001</v>
      </c>
      <c r="F72" s="75">
        <f>D72/Berechnung!$C$12</f>
        <v>1.7094017094017095</v>
      </c>
      <c r="G72" s="13">
        <f>Berechnung!$B$16/1000000*D72</f>
        <v>6.3680000000000004E-3</v>
      </c>
    </row>
    <row r="73" spans="2:8" x14ac:dyDescent="0.25">
      <c r="B73" s="6" t="s">
        <v>17</v>
      </c>
      <c r="C73" s="7">
        <v>100</v>
      </c>
      <c r="D73" s="7">
        <v>250</v>
      </c>
      <c r="E73" s="75">
        <v>8.1999999999999993</v>
      </c>
      <c r="F73" s="75">
        <f>D73/Berechnung!$C$12</f>
        <v>13.354700854700855</v>
      </c>
      <c r="G73" s="13">
        <f>Berechnung!$B$16/1000000*D73</f>
        <v>4.9750000000000003E-2</v>
      </c>
    </row>
    <row r="74" spans="2:8" x14ac:dyDescent="0.25">
      <c r="B74" s="6" t="s">
        <v>18</v>
      </c>
      <c r="C74" s="7">
        <v>100</v>
      </c>
      <c r="D74" s="7">
        <v>220</v>
      </c>
      <c r="E74" s="75">
        <v>7.2</v>
      </c>
      <c r="F74" s="75">
        <f>D74/Berechnung!$C$12</f>
        <v>11.752136752136753</v>
      </c>
      <c r="G74" s="13">
        <f>Berechnung!$B$16/1000000*D74</f>
        <v>4.3779999999999999E-2</v>
      </c>
    </row>
    <row r="75" spans="2:8" x14ac:dyDescent="0.25">
      <c r="B75" s="6" t="s">
        <v>20</v>
      </c>
      <c r="C75" s="7">
        <v>100</v>
      </c>
      <c r="D75" s="7">
        <v>451</v>
      </c>
      <c r="E75" s="75">
        <v>14.8</v>
      </c>
      <c r="F75" s="75">
        <f>D75/Berechnung!$C$12</f>
        <v>24.091880341880344</v>
      </c>
      <c r="G75" s="13">
        <f>Berechnung!$B$16/1000000*D75</f>
        <v>8.9749000000000009E-2</v>
      </c>
    </row>
    <row r="76" spans="2:8" x14ac:dyDescent="0.25">
      <c r="B76" s="23" t="s">
        <v>178</v>
      </c>
      <c r="C76" s="117">
        <f>AVERAGE(C68:C75)</f>
        <v>100</v>
      </c>
      <c r="D76" s="117">
        <f>AVERAGE(D68:D75)</f>
        <v>386.75</v>
      </c>
      <c r="E76" s="117">
        <f>AVERAGE(E68:E75)</f>
        <v>12.7</v>
      </c>
      <c r="F76" s="118">
        <f>D76/Berechnung!$C$12</f>
        <v>20.659722222222225</v>
      </c>
      <c r="G76" s="85">
        <f>Berechnung!$B$16/1000000*D76</f>
        <v>7.6963250000000011E-2</v>
      </c>
      <c r="H76" s="11"/>
    </row>
    <row r="77" spans="2:8" x14ac:dyDescent="0.25">
      <c r="E77" s="75"/>
      <c r="F77" s="75"/>
      <c r="G77" s="107"/>
    </row>
    <row r="78" spans="2:8" x14ac:dyDescent="0.25">
      <c r="B78" s="4" t="s">
        <v>21</v>
      </c>
      <c r="C78" s="5"/>
      <c r="D78" s="5"/>
      <c r="E78" s="74"/>
      <c r="F78" s="74"/>
      <c r="G78" s="115"/>
    </row>
    <row r="79" spans="2:8" x14ac:dyDescent="0.25">
      <c r="B79" s="10" t="s">
        <v>22</v>
      </c>
      <c r="C79" s="12">
        <v>100</v>
      </c>
      <c r="D79" s="12">
        <v>90</v>
      </c>
      <c r="E79" s="108">
        <v>3</v>
      </c>
      <c r="F79" s="75">
        <f>D79/Berechnung!$C$12</f>
        <v>4.8076923076923084</v>
      </c>
      <c r="G79" s="13">
        <f>Berechnung!$B$16/1000000*D79</f>
        <v>1.7910000000000002E-2</v>
      </c>
    </row>
    <row r="80" spans="2:8" x14ac:dyDescent="0.25">
      <c r="B80" s="10" t="s">
        <v>23</v>
      </c>
      <c r="C80" s="12">
        <v>100</v>
      </c>
      <c r="D80" s="12">
        <v>240</v>
      </c>
      <c r="E80" s="108">
        <v>7.9</v>
      </c>
      <c r="F80" s="75">
        <f>D80/Berechnung!$C$12</f>
        <v>12.820512820512821</v>
      </c>
      <c r="G80" s="13">
        <f>Berechnung!$B$16/1000000*D80</f>
        <v>4.7760000000000004E-2</v>
      </c>
    </row>
    <row r="81" spans="2:7" x14ac:dyDescent="0.25">
      <c r="B81" s="10" t="s">
        <v>24</v>
      </c>
      <c r="C81" s="12">
        <v>100</v>
      </c>
      <c r="D81" s="12">
        <v>130</v>
      </c>
      <c r="E81" s="108">
        <v>4.3</v>
      </c>
      <c r="F81" s="75">
        <f>D81/Berechnung!$C$12</f>
        <v>6.9444444444444446</v>
      </c>
      <c r="G81" s="13">
        <f>Berechnung!$B$16/1000000*D81</f>
        <v>2.5870000000000001E-2</v>
      </c>
    </row>
    <row r="82" spans="2:7" x14ac:dyDescent="0.25">
      <c r="B82" s="10" t="s">
        <v>25</v>
      </c>
      <c r="C82" s="12">
        <v>100</v>
      </c>
      <c r="D82" s="12">
        <v>186</v>
      </c>
      <c r="E82" s="108">
        <v>9.4</v>
      </c>
      <c r="F82" s="75">
        <f>D82/Berechnung!$C$12</f>
        <v>9.9358974358974361</v>
      </c>
      <c r="G82" s="13">
        <f>Berechnung!$B$16/1000000*D82</f>
        <v>3.7014000000000005E-2</v>
      </c>
    </row>
    <row r="83" spans="2:7" x14ac:dyDescent="0.25">
      <c r="B83" s="10" t="s">
        <v>26</v>
      </c>
      <c r="C83" s="12">
        <v>100</v>
      </c>
      <c r="D83" s="12">
        <v>190</v>
      </c>
      <c r="E83" s="108">
        <v>6.2</v>
      </c>
      <c r="F83" s="75">
        <f>D83/Berechnung!$C$12</f>
        <v>10.149572649572651</v>
      </c>
      <c r="G83" s="13">
        <f>Berechnung!$B$16/1000000*D83</f>
        <v>3.7810000000000003E-2</v>
      </c>
    </row>
    <row r="84" spans="2:7" x14ac:dyDescent="0.25">
      <c r="B84" s="10" t="s">
        <v>27</v>
      </c>
      <c r="C84" s="12">
        <v>100</v>
      </c>
      <c r="D84" s="12">
        <v>110</v>
      </c>
      <c r="E84" s="108">
        <v>3.6</v>
      </c>
      <c r="F84" s="75">
        <f>D84/Berechnung!$C$12</f>
        <v>5.8760683760683765</v>
      </c>
      <c r="G84" s="13">
        <f>Berechnung!$B$16/1000000*D84</f>
        <v>2.189E-2</v>
      </c>
    </row>
    <row r="85" spans="2:7" x14ac:dyDescent="0.25">
      <c r="B85" s="10" t="s">
        <v>29</v>
      </c>
      <c r="C85" s="12">
        <v>100</v>
      </c>
      <c r="D85" s="12">
        <v>224</v>
      </c>
      <c r="E85" s="108">
        <v>7.4</v>
      </c>
      <c r="F85" s="75">
        <f>D85/Berechnung!$C$12</f>
        <v>11.965811965811966</v>
      </c>
      <c r="G85" s="13">
        <f>Berechnung!$B$16/1000000*D85</f>
        <v>4.4576000000000005E-2</v>
      </c>
    </row>
    <row r="86" spans="2:7" x14ac:dyDescent="0.25">
      <c r="B86" s="10" t="s">
        <v>30</v>
      </c>
      <c r="C86" s="12">
        <v>100</v>
      </c>
      <c r="D86" s="12">
        <v>90</v>
      </c>
      <c r="E86" s="108">
        <v>3</v>
      </c>
      <c r="F86" s="75">
        <f>D86/Berechnung!$C$12</f>
        <v>4.8076923076923084</v>
      </c>
      <c r="G86" s="13">
        <f>Berechnung!$B$16/1000000*D86</f>
        <v>1.7910000000000002E-2</v>
      </c>
    </row>
    <row r="87" spans="2:7" x14ac:dyDescent="0.25">
      <c r="B87" s="10" t="s">
        <v>31</v>
      </c>
      <c r="C87" s="12">
        <v>100</v>
      </c>
      <c r="D87" s="12">
        <v>257</v>
      </c>
      <c r="E87" s="108">
        <v>8.4</v>
      </c>
      <c r="F87" s="75">
        <f>D87/Berechnung!$C$12</f>
        <v>13.728632478632479</v>
      </c>
      <c r="G87" s="13">
        <f>Berechnung!$B$16/1000000*D87</f>
        <v>5.1143000000000001E-2</v>
      </c>
    </row>
    <row r="88" spans="2:7" x14ac:dyDescent="0.25">
      <c r="B88" s="116" t="s">
        <v>83</v>
      </c>
      <c r="C88" s="117">
        <f>AVERAGE(C79:C87)</f>
        <v>100</v>
      </c>
      <c r="D88" s="117">
        <f>AVERAGE(D79:D87)</f>
        <v>168.55555555555554</v>
      </c>
      <c r="E88" s="117">
        <f>AVERAGE(E79:E87)</f>
        <v>5.9111111111111105</v>
      </c>
      <c r="F88" s="118">
        <f>D88/Berechnung!$C$12</f>
        <v>9.0040360873694212</v>
      </c>
      <c r="G88" s="85">
        <f>Berechnung!$B$16/1000000*D88</f>
        <v>3.3542555555555555E-2</v>
      </c>
    </row>
    <row r="89" spans="2:7" x14ac:dyDescent="0.25">
      <c r="E89" s="75"/>
      <c r="F89" s="75"/>
      <c r="G89" s="107"/>
    </row>
    <row r="90" spans="2:7" x14ac:dyDescent="0.25">
      <c r="B90" s="4" t="s">
        <v>82</v>
      </c>
      <c r="C90" s="119" t="s">
        <v>155</v>
      </c>
      <c r="D90" s="119" t="s">
        <v>156</v>
      </c>
      <c r="E90" s="120" t="s">
        <v>179</v>
      </c>
      <c r="F90" s="120" t="s">
        <v>180</v>
      </c>
      <c r="G90" s="121" t="s">
        <v>158</v>
      </c>
    </row>
    <row r="91" spans="2:7" x14ac:dyDescent="0.25">
      <c r="B91" s="6" t="s">
        <v>73</v>
      </c>
      <c r="C91" s="7">
        <v>100</v>
      </c>
      <c r="D91" s="7">
        <v>1389</v>
      </c>
      <c r="E91" s="75">
        <v>45.6</v>
      </c>
      <c r="F91" s="75">
        <f>D91/Berechnung!$C$12</f>
        <v>74.198717948717956</v>
      </c>
      <c r="G91" s="13">
        <f>Berechnung!$B$16/1000000*D91</f>
        <v>0.27641100000000002</v>
      </c>
    </row>
    <row r="92" spans="2:7" x14ac:dyDescent="0.25">
      <c r="B92" s="6" t="s">
        <v>74</v>
      </c>
      <c r="C92" s="7">
        <v>100</v>
      </c>
      <c r="D92" s="7">
        <v>806</v>
      </c>
      <c r="E92" s="75">
        <v>26.5</v>
      </c>
      <c r="F92" s="75">
        <f>D92/Berechnung!$C$12</f>
        <v>43.055555555555557</v>
      </c>
      <c r="G92" s="13">
        <f>Berechnung!$B$16/1000000*D92</f>
        <v>0.16039400000000001</v>
      </c>
    </row>
    <row r="93" spans="2:7" x14ac:dyDescent="0.25">
      <c r="B93" s="6" t="s">
        <v>75</v>
      </c>
      <c r="C93" s="7">
        <v>100</v>
      </c>
      <c r="D93" s="7">
        <v>1361</v>
      </c>
      <c r="E93" s="75">
        <v>44.7</v>
      </c>
      <c r="F93" s="75">
        <f>D93/Berechnung!$C$12</f>
        <v>72.702991452991455</v>
      </c>
      <c r="G93" s="13">
        <f>Berechnung!$B$16/1000000*D93</f>
        <v>0.270839</v>
      </c>
    </row>
    <row r="94" spans="2:7" x14ac:dyDescent="0.25">
      <c r="B94" s="6" t="s">
        <v>76</v>
      </c>
      <c r="C94" s="7">
        <v>100</v>
      </c>
      <c r="D94" s="7">
        <v>383</v>
      </c>
      <c r="E94" s="75">
        <v>12.6</v>
      </c>
      <c r="F94" s="75">
        <f>D94/Berechnung!$C$12</f>
        <v>20.45940170940171</v>
      </c>
      <c r="G94" s="13">
        <f>Berechnung!$B$16/1000000*D94</f>
        <v>7.6217000000000007E-2</v>
      </c>
    </row>
    <row r="95" spans="2:7" x14ac:dyDescent="0.25">
      <c r="B95" s="8" t="s">
        <v>77</v>
      </c>
      <c r="C95" s="9">
        <v>100</v>
      </c>
      <c r="D95" s="9">
        <v>1167</v>
      </c>
      <c r="E95" s="76">
        <v>38.299999999999997</v>
      </c>
      <c r="F95" s="76">
        <f>D95/Berechnung!$C$12</f>
        <v>62.339743589743591</v>
      </c>
      <c r="G95" s="14">
        <f>Berechnung!$B$16/1000000*D95</f>
        <v>0.23223300000000002</v>
      </c>
    </row>
    <row r="97" spans="5:5" x14ac:dyDescent="0.25">
      <c r="E97" s="7">
        <f>E91*5</f>
        <v>228</v>
      </c>
    </row>
  </sheetData>
  <sortState ref="B16:E38">
    <sortCondition ref="B16"/>
  </sortState>
  <mergeCells count="6">
    <mergeCell ref="Q38:R38"/>
    <mergeCell ref="J38:J39"/>
    <mergeCell ref="K38:L38"/>
    <mergeCell ref="I38:I39"/>
    <mergeCell ref="M38:N38"/>
    <mergeCell ref="O38:P38"/>
  </mergeCells>
  <pageMargins left="0.7" right="0.7" top="0.78740157499999996" bottom="0.78740157499999996"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9707-86EC-46F9-9709-1B7DA3552FB6}">
  <dimension ref="A1:L26"/>
  <sheetViews>
    <sheetView workbookViewId="0">
      <selection activeCell="I3" sqref="I3"/>
    </sheetView>
  </sheetViews>
  <sheetFormatPr baseColWidth="10" defaultRowHeight="15" x14ac:dyDescent="0.25"/>
  <cols>
    <col min="1" max="1" width="21.85546875" bestFit="1" customWidth="1"/>
    <col min="6" max="6" width="3" customWidth="1"/>
    <col min="7" max="7" width="10.85546875" hidden="1" customWidth="1"/>
    <col min="9" max="9" width="14.28515625" bestFit="1" customWidth="1"/>
  </cols>
  <sheetData>
    <row r="1" spans="1:12" x14ac:dyDescent="0.25">
      <c r="A1" s="41" t="s">
        <v>114</v>
      </c>
      <c r="B1" s="153" t="s">
        <v>115</v>
      </c>
      <c r="C1" s="154"/>
      <c r="D1" s="154"/>
      <c r="E1" s="154"/>
      <c r="F1" s="154"/>
      <c r="G1" s="155"/>
    </row>
    <row r="2" spans="1:12" x14ac:dyDescent="0.25">
      <c r="A2" s="42" t="s">
        <v>116</v>
      </c>
      <c r="B2" s="156" t="s">
        <v>117</v>
      </c>
      <c r="C2" s="157"/>
      <c r="D2" s="157"/>
      <c r="E2" s="157"/>
      <c r="F2" s="157"/>
      <c r="G2" s="158"/>
    </row>
    <row r="3" spans="1:12" x14ac:dyDescent="0.25">
      <c r="A3" s="43" t="s">
        <v>118</v>
      </c>
      <c r="B3" s="159" t="s">
        <v>119</v>
      </c>
      <c r="C3" s="160"/>
      <c r="D3" s="160"/>
      <c r="E3" s="160"/>
      <c r="F3" s="160"/>
      <c r="G3" s="161"/>
    </row>
    <row r="4" spans="1:12" x14ac:dyDescent="0.25">
      <c r="A4" s="44"/>
      <c r="B4" s="162" t="s">
        <v>120</v>
      </c>
      <c r="C4" s="163"/>
      <c r="D4" s="163"/>
      <c r="E4" s="163"/>
      <c r="F4" s="163"/>
      <c r="G4" s="164"/>
      <c r="H4" s="45"/>
    </row>
    <row r="5" spans="1:12" ht="15.75" thickBot="1" x14ac:dyDescent="0.3">
      <c r="A5" s="46"/>
      <c r="B5" s="47"/>
      <c r="C5" s="46"/>
      <c r="D5" s="46"/>
      <c r="E5" s="46"/>
      <c r="F5" s="46"/>
      <c r="G5" s="46"/>
      <c r="H5" s="45"/>
    </row>
    <row r="6" spans="1:12" ht="15.75" thickBot="1" x14ac:dyDescent="0.3">
      <c r="A6" s="48" t="s">
        <v>121</v>
      </c>
      <c r="B6" s="165" t="s">
        <v>122</v>
      </c>
      <c r="C6" s="165"/>
      <c r="D6" s="165"/>
      <c r="E6" s="165"/>
      <c r="F6" s="165"/>
      <c r="G6" s="165"/>
      <c r="H6" s="48" t="s">
        <v>123</v>
      </c>
      <c r="I6" s="56" t="s">
        <v>148</v>
      </c>
      <c r="J6" s="57" t="s">
        <v>145</v>
      </c>
      <c r="K6" s="57" t="s">
        <v>146</v>
      </c>
      <c r="L6" s="58" t="s">
        <v>147</v>
      </c>
    </row>
    <row r="7" spans="1:12" x14ac:dyDescent="0.25">
      <c r="A7" s="49" t="s">
        <v>124</v>
      </c>
      <c r="B7" s="151" t="s">
        <v>125</v>
      </c>
      <c r="C7" s="152"/>
      <c r="D7" s="152"/>
      <c r="E7" s="152"/>
      <c r="F7" s="152"/>
      <c r="G7" s="152"/>
      <c r="H7" s="50">
        <v>2015</v>
      </c>
      <c r="I7" s="59">
        <v>638.66919178562603</v>
      </c>
      <c r="J7" s="60">
        <v>441.23862789954347</v>
      </c>
      <c r="K7" s="61">
        <v>0.49951930103417419</v>
      </c>
      <c r="L7" s="62">
        <v>0.68671455343679166</v>
      </c>
    </row>
    <row r="8" spans="1:12" x14ac:dyDescent="0.25">
      <c r="A8" s="51" t="s">
        <v>126</v>
      </c>
      <c r="B8" s="151" t="s">
        <v>127</v>
      </c>
      <c r="C8" s="152"/>
      <c r="D8" s="152"/>
      <c r="E8" s="152"/>
      <c r="F8" s="152"/>
      <c r="G8" s="152"/>
      <c r="H8" s="52">
        <v>2015</v>
      </c>
      <c r="I8" s="63">
        <v>136.56092228453903</v>
      </c>
      <c r="J8" s="64">
        <v>112.39120660989096</v>
      </c>
      <c r="K8" s="65">
        <v>0.11841452501013776</v>
      </c>
      <c r="L8" s="66">
        <v>6.4106845992281544E-2</v>
      </c>
    </row>
    <row r="9" spans="1:12" x14ac:dyDescent="0.25">
      <c r="A9" s="51" t="s">
        <v>128</v>
      </c>
      <c r="B9" s="151" t="s">
        <v>127</v>
      </c>
      <c r="C9" s="152"/>
      <c r="D9" s="152"/>
      <c r="E9" s="152"/>
      <c r="F9" s="152"/>
      <c r="G9" s="152"/>
      <c r="H9" s="52">
        <v>2015</v>
      </c>
      <c r="I9" s="63">
        <v>399.29151004036873</v>
      </c>
      <c r="J9" s="64">
        <v>353.93167243687583</v>
      </c>
      <c r="K9" s="65">
        <v>0.4831650746306983</v>
      </c>
      <c r="L9" s="66">
        <v>0.11540731782710471</v>
      </c>
    </row>
    <row r="10" spans="1:12" x14ac:dyDescent="0.25">
      <c r="A10" s="51" t="s">
        <v>129</v>
      </c>
      <c r="B10" s="151" t="s">
        <v>127</v>
      </c>
      <c r="C10" s="152"/>
      <c r="D10" s="152"/>
      <c r="E10" s="152"/>
      <c r="F10" s="152"/>
      <c r="G10" s="152"/>
      <c r="H10" s="52">
        <v>2015</v>
      </c>
      <c r="I10" s="63">
        <v>459.23595895693626</v>
      </c>
      <c r="J10" s="64">
        <v>402.82307233170121</v>
      </c>
      <c r="K10" s="65">
        <v>0.4795862951462504</v>
      </c>
      <c r="L10" s="66">
        <v>0.12571370680171196</v>
      </c>
    </row>
    <row r="11" spans="1:12" x14ac:dyDescent="0.25">
      <c r="A11" s="51" t="s">
        <v>130</v>
      </c>
      <c r="B11" s="151" t="s">
        <v>127</v>
      </c>
      <c r="C11" s="152"/>
      <c r="D11" s="152"/>
      <c r="E11" s="152"/>
      <c r="F11" s="152"/>
      <c r="G11" s="152"/>
      <c r="H11" s="52">
        <v>2015</v>
      </c>
      <c r="I11" s="63">
        <v>149.13359854999595</v>
      </c>
      <c r="J11" s="64">
        <v>108.28562252954629</v>
      </c>
      <c r="K11" s="65">
        <v>0.11810127658729674</v>
      </c>
      <c r="L11" s="66">
        <v>0.12759590870139714</v>
      </c>
    </row>
    <row r="12" spans="1:12" x14ac:dyDescent="0.25">
      <c r="A12" s="51" t="s">
        <v>131</v>
      </c>
      <c r="B12" s="151" t="s">
        <v>127</v>
      </c>
      <c r="C12" s="152"/>
      <c r="D12" s="152"/>
      <c r="E12" s="152"/>
      <c r="F12" s="152"/>
      <c r="G12" s="152"/>
      <c r="H12" s="52">
        <v>2015</v>
      </c>
      <c r="I12" s="63">
        <v>790.91309061125537</v>
      </c>
      <c r="J12" s="64">
        <v>671.9654308749333</v>
      </c>
      <c r="K12" s="65">
        <v>0.90246204893271242</v>
      </c>
      <c r="L12" s="66">
        <v>0.30463021421986164</v>
      </c>
    </row>
    <row r="13" spans="1:12" x14ac:dyDescent="0.25">
      <c r="A13" s="51" t="s">
        <v>132</v>
      </c>
      <c r="B13" s="151" t="s">
        <v>127</v>
      </c>
      <c r="C13" s="152"/>
      <c r="D13" s="152"/>
      <c r="E13" s="152"/>
      <c r="F13" s="152"/>
      <c r="G13" s="152"/>
      <c r="H13" s="52">
        <v>2015</v>
      </c>
      <c r="I13" s="63">
        <v>3427.8882367799956</v>
      </c>
      <c r="J13" s="64">
        <v>3032.5643739872171</v>
      </c>
      <c r="K13" s="65">
        <v>4.0779826125756768</v>
      </c>
      <c r="L13" s="66">
        <v>1.0261792220198895</v>
      </c>
    </row>
    <row r="14" spans="1:12" x14ac:dyDescent="0.25">
      <c r="A14" s="51" t="s">
        <v>133</v>
      </c>
      <c r="B14" s="151" t="s">
        <v>127</v>
      </c>
      <c r="C14" s="152"/>
      <c r="D14" s="152"/>
      <c r="E14" s="152"/>
      <c r="F14" s="152"/>
      <c r="G14" s="152"/>
      <c r="H14" s="52">
        <v>2015</v>
      </c>
      <c r="I14" s="63">
        <v>516.98475820099895</v>
      </c>
      <c r="J14" s="64">
        <v>462.12785974389328</v>
      </c>
      <c r="K14" s="65">
        <v>0.19318477091827307</v>
      </c>
      <c r="L14" s="66">
        <v>0.17969517604111493</v>
      </c>
    </row>
    <row r="15" spans="1:12" x14ac:dyDescent="0.25">
      <c r="A15" s="51" t="s">
        <v>134</v>
      </c>
      <c r="B15" s="151" t="s">
        <v>127</v>
      </c>
      <c r="C15" s="152"/>
      <c r="D15" s="152"/>
      <c r="E15" s="152"/>
      <c r="F15" s="152"/>
      <c r="G15" s="152"/>
      <c r="H15" s="52">
        <v>2015</v>
      </c>
      <c r="I15" s="63">
        <v>392.24422485575678</v>
      </c>
      <c r="J15" s="64">
        <v>208.81076874616699</v>
      </c>
      <c r="K15" s="65">
        <v>0.21003728102472546</v>
      </c>
      <c r="L15" s="66">
        <v>0.65885668854686541</v>
      </c>
    </row>
    <row r="16" spans="1:12" x14ac:dyDescent="0.25">
      <c r="A16" s="51" t="s">
        <v>135</v>
      </c>
      <c r="B16" s="151" t="s">
        <v>127</v>
      </c>
      <c r="C16" s="152"/>
      <c r="D16" s="152"/>
      <c r="E16" s="152"/>
      <c r="F16" s="152"/>
      <c r="G16" s="152"/>
      <c r="H16" s="52">
        <v>2015</v>
      </c>
      <c r="I16" s="63">
        <v>399.7447054574813</v>
      </c>
      <c r="J16" s="64">
        <v>257.69500937244044</v>
      </c>
      <c r="K16" s="65">
        <v>0.53554498090242797</v>
      </c>
      <c r="L16" s="66">
        <v>0.46570908727495114</v>
      </c>
    </row>
    <row r="17" spans="1:12" x14ac:dyDescent="0.25">
      <c r="A17" s="51" t="s">
        <v>136</v>
      </c>
      <c r="B17" s="151" t="s">
        <v>127</v>
      </c>
      <c r="C17" s="152"/>
      <c r="D17" s="152"/>
      <c r="E17" s="152"/>
      <c r="F17" s="152"/>
      <c r="G17" s="152"/>
      <c r="H17" s="52">
        <v>2015</v>
      </c>
      <c r="I17" s="63">
        <v>354.67221264665062</v>
      </c>
      <c r="J17" s="64">
        <v>330.54233782256637</v>
      </c>
      <c r="K17" s="65">
        <v>0.17515301171043179</v>
      </c>
      <c r="L17" s="66">
        <v>5.768263427916278E-2</v>
      </c>
    </row>
    <row r="18" spans="1:12" x14ac:dyDescent="0.25">
      <c r="A18" s="51" t="s">
        <v>137</v>
      </c>
      <c r="B18" s="151" t="s">
        <v>127</v>
      </c>
      <c r="C18" s="152"/>
      <c r="D18" s="152"/>
      <c r="E18" s="152"/>
      <c r="F18" s="152"/>
      <c r="G18" s="152"/>
      <c r="H18" s="52">
        <v>2015</v>
      </c>
      <c r="I18" s="63">
        <v>4847.2540203091767</v>
      </c>
      <c r="J18" s="64">
        <v>3012.7018394190341</v>
      </c>
      <c r="K18" s="65">
        <v>51.308397167583749</v>
      </c>
      <c r="L18" s="66">
        <v>1.1132940125013766</v>
      </c>
    </row>
    <row r="19" spans="1:12" x14ac:dyDescent="0.25">
      <c r="A19" s="51" t="s">
        <v>138</v>
      </c>
      <c r="B19" s="151" t="s">
        <v>127</v>
      </c>
      <c r="C19" s="152"/>
      <c r="D19" s="152"/>
      <c r="E19" s="152"/>
      <c r="F19" s="152"/>
      <c r="G19" s="152"/>
      <c r="H19" s="52">
        <v>2015</v>
      </c>
      <c r="I19" s="63">
        <v>1216.2152425342679</v>
      </c>
      <c r="J19" s="64">
        <v>583.15940879491018</v>
      </c>
      <c r="K19" s="65">
        <v>1.1249352041854221</v>
      </c>
      <c r="L19" s="66">
        <v>2.2528258558854013</v>
      </c>
    </row>
    <row r="20" spans="1:12" x14ac:dyDescent="0.25">
      <c r="A20" s="51" t="s">
        <v>139</v>
      </c>
      <c r="B20" s="151" t="s">
        <v>127</v>
      </c>
      <c r="C20" s="152"/>
      <c r="D20" s="152"/>
      <c r="E20" s="152"/>
      <c r="F20" s="152"/>
      <c r="G20" s="152"/>
      <c r="H20" s="52">
        <v>2015</v>
      </c>
      <c r="I20" s="63">
        <v>2094.8831660192254</v>
      </c>
      <c r="J20" s="64">
        <v>510.54113443900405</v>
      </c>
      <c r="K20" s="65">
        <v>33.187288887980607</v>
      </c>
      <c r="L20" s="66">
        <v>2.2120810935416135</v>
      </c>
    </row>
    <row r="21" spans="1:12" x14ac:dyDescent="0.25">
      <c r="A21" s="51" t="s">
        <v>12</v>
      </c>
      <c r="B21" s="151" t="s">
        <v>127</v>
      </c>
      <c r="C21" s="152"/>
      <c r="D21" s="152"/>
      <c r="E21" s="152"/>
      <c r="F21" s="152"/>
      <c r="G21" s="152"/>
      <c r="H21" s="52">
        <v>2015</v>
      </c>
      <c r="I21" s="63">
        <v>22862.993475629974</v>
      </c>
      <c r="J21" s="64">
        <v>4586.1703770307904</v>
      </c>
      <c r="K21" s="65">
        <v>383.31422944992562</v>
      </c>
      <c r="L21" s="66">
        <v>25.555396803080328</v>
      </c>
    </row>
    <row r="22" spans="1:12" x14ac:dyDescent="0.25">
      <c r="A22" s="51" t="s">
        <v>140</v>
      </c>
      <c r="B22" s="151" t="s">
        <v>127</v>
      </c>
      <c r="C22" s="152"/>
      <c r="D22" s="152"/>
      <c r="E22" s="152"/>
      <c r="F22" s="152"/>
      <c r="G22" s="152"/>
      <c r="H22" s="52">
        <v>2015</v>
      </c>
      <c r="I22" s="63">
        <v>8181.8515304146149</v>
      </c>
      <c r="J22" s="64">
        <v>2050.3576230094136</v>
      </c>
      <c r="K22" s="65">
        <v>128.46871220533973</v>
      </c>
      <c r="L22" s="66">
        <v>8.5690314282712254</v>
      </c>
    </row>
    <row r="23" spans="1:12" x14ac:dyDescent="0.25">
      <c r="A23" s="53" t="s">
        <v>141</v>
      </c>
      <c r="B23" s="151" t="s">
        <v>127</v>
      </c>
      <c r="C23" s="152"/>
      <c r="D23" s="152"/>
      <c r="E23" s="152"/>
      <c r="F23" s="152"/>
      <c r="G23" s="152"/>
      <c r="H23" s="52">
        <v>2015</v>
      </c>
      <c r="I23" s="63">
        <v>5311.2423265029383</v>
      </c>
      <c r="J23" s="64">
        <v>1775.7943954003101</v>
      </c>
      <c r="K23" s="65">
        <v>48.715655116208374</v>
      </c>
      <c r="L23" s="66">
        <v>7.8158324936915653</v>
      </c>
    </row>
    <row r="24" spans="1:12" x14ac:dyDescent="0.25">
      <c r="A24" s="53" t="s">
        <v>142</v>
      </c>
      <c r="B24" s="151" t="s">
        <v>127</v>
      </c>
      <c r="C24" s="152"/>
      <c r="D24" s="152"/>
      <c r="E24" s="152"/>
      <c r="F24" s="152"/>
      <c r="G24" s="152"/>
      <c r="H24" s="52">
        <v>2015</v>
      </c>
      <c r="I24" s="63">
        <v>13120.506369665516</v>
      </c>
      <c r="J24" s="64">
        <v>2248.1842589144999</v>
      </c>
      <c r="K24" s="65">
        <v>44.713814943993285</v>
      </c>
      <c r="L24" s="66">
        <v>35.956233097516638</v>
      </c>
    </row>
    <row r="25" spans="1:12" x14ac:dyDescent="0.25">
      <c r="A25" s="53" t="s">
        <v>143</v>
      </c>
      <c r="B25" s="151" t="s">
        <v>127</v>
      </c>
      <c r="C25" s="152"/>
      <c r="D25" s="152"/>
      <c r="E25" s="152"/>
      <c r="F25" s="152"/>
      <c r="G25" s="152"/>
      <c r="H25" s="52">
        <v>2015</v>
      </c>
      <c r="I25" s="63">
        <v>25982.463650351678</v>
      </c>
      <c r="J25" s="64">
        <v>7513.6066378152764</v>
      </c>
      <c r="K25" s="65">
        <v>289.22623714934736</v>
      </c>
      <c r="L25" s="66">
        <v>36.939601468357303</v>
      </c>
    </row>
    <row r="26" spans="1:12" ht="15.75" thickBot="1" x14ac:dyDescent="0.3">
      <c r="A26" s="54" t="s">
        <v>144</v>
      </c>
      <c r="B26" s="151" t="s">
        <v>127</v>
      </c>
      <c r="C26" s="152"/>
      <c r="D26" s="152"/>
      <c r="E26" s="152"/>
      <c r="F26" s="152"/>
      <c r="G26" s="152"/>
      <c r="H26" s="55">
        <v>2015</v>
      </c>
      <c r="I26" s="67">
        <v>5489.9982249028135</v>
      </c>
      <c r="J26" s="68">
        <v>1761.5344410048097</v>
      </c>
      <c r="K26" s="69">
        <v>85.812304493285765</v>
      </c>
      <c r="L26" s="70">
        <v>4.3453224981374525</v>
      </c>
    </row>
  </sheetData>
  <mergeCells count="25">
    <mergeCell ref="B7:G7"/>
    <mergeCell ref="B1:G1"/>
    <mergeCell ref="B2:G2"/>
    <mergeCell ref="B3:G3"/>
    <mergeCell ref="B4:G4"/>
    <mergeCell ref="B6:G6"/>
    <mergeCell ref="B19:G19"/>
    <mergeCell ref="B8:G8"/>
    <mergeCell ref="B9:G9"/>
    <mergeCell ref="B10:G10"/>
    <mergeCell ref="B11:G11"/>
    <mergeCell ref="B12:G12"/>
    <mergeCell ref="B13:G13"/>
    <mergeCell ref="B14:G14"/>
    <mergeCell ref="B15:G15"/>
    <mergeCell ref="B16:G16"/>
    <mergeCell ref="B17:G17"/>
    <mergeCell ref="B18:G18"/>
    <mergeCell ref="B26:G26"/>
    <mergeCell ref="B20:G20"/>
    <mergeCell ref="B21:G21"/>
    <mergeCell ref="B22:G22"/>
    <mergeCell ref="B23:G23"/>
    <mergeCell ref="B24:G24"/>
    <mergeCell ref="B25:G25"/>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143-11E2-47CE-A120-3F6EB84A8FA0}">
  <dimension ref="A1:B26"/>
  <sheetViews>
    <sheetView workbookViewId="0">
      <selection activeCell="A27" sqref="A27"/>
    </sheetView>
  </sheetViews>
  <sheetFormatPr baseColWidth="10" defaultRowHeight="15" x14ac:dyDescent="0.25"/>
  <cols>
    <col min="1" max="1" width="29.7109375" bestFit="1" customWidth="1"/>
    <col min="2" max="2" width="111" bestFit="1" customWidth="1"/>
  </cols>
  <sheetData>
    <row r="1" spans="1:2" x14ac:dyDescent="0.25">
      <c r="A1" s="36" t="s">
        <v>99</v>
      </c>
    </row>
    <row r="2" spans="1:2" x14ac:dyDescent="0.25">
      <c r="A2" t="s">
        <v>91</v>
      </c>
      <c r="B2" t="s">
        <v>92</v>
      </c>
    </row>
    <row r="3" spans="1:2" x14ac:dyDescent="0.25">
      <c r="A3" t="s">
        <v>100</v>
      </c>
      <c r="B3" t="s">
        <v>0</v>
      </c>
    </row>
    <row r="4" spans="1:2" x14ac:dyDescent="0.25">
      <c r="A4" t="s">
        <v>97</v>
      </c>
      <c r="B4" t="s">
        <v>98</v>
      </c>
    </row>
    <row r="5" spans="1:2" x14ac:dyDescent="0.25">
      <c r="A5" t="s">
        <v>95</v>
      </c>
      <c r="B5" t="s">
        <v>96</v>
      </c>
    </row>
    <row r="6" spans="1:2" x14ac:dyDescent="0.25">
      <c r="A6" t="s">
        <v>102</v>
      </c>
      <c r="B6" s="1" t="s">
        <v>101</v>
      </c>
    </row>
    <row r="7" spans="1:2" x14ac:dyDescent="0.25">
      <c r="A7" t="s">
        <v>193</v>
      </c>
      <c r="B7" s="1" t="s">
        <v>192</v>
      </c>
    </row>
    <row r="9" spans="1:2" x14ac:dyDescent="0.25">
      <c r="A9" t="s">
        <v>103</v>
      </c>
      <c r="B9" t="s">
        <v>104</v>
      </c>
    </row>
    <row r="10" spans="1:2" x14ac:dyDescent="0.25">
      <c r="A10" t="s">
        <v>106</v>
      </c>
      <c r="B10" t="s">
        <v>105</v>
      </c>
    </row>
    <row r="11" spans="1:2" x14ac:dyDescent="0.25">
      <c r="A11" t="s">
        <v>150</v>
      </c>
      <c r="B11" t="s">
        <v>149</v>
      </c>
    </row>
    <row r="14" spans="1:2" x14ac:dyDescent="0.25">
      <c r="A14" t="s">
        <v>93</v>
      </c>
      <c r="B14" t="s">
        <v>94</v>
      </c>
    </row>
    <row r="17" spans="1:2" x14ac:dyDescent="0.25">
      <c r="A17" t="s">
        <v>152</v>
      </c>
      <c r="B17" t="s">
        <v>151</v>
      </c>
    </row>
    <row r="20" spans="1:2" x14ac:dyDescent="0.25">
      <c r="A20" s="11" t="s">
        <v>111</v>
      </c>
    </row>
    <row r="21" spans="1:2" x14ac:dyDescent="0.25">
      <c r="A21" s="40" t="s">
        <v>112</v>
      </c>
    </row>
    <row r="22" spans="1:2" x14ac:dyDescent="0.25">
      <c r="A22" t="s">
        <v>113</v>
      </c>
    </row>
    <row r="24" spans="1:2" x14ac:dyDescent="0.25">
      <c r="A24" s="11" t="s">
        <v>232</v>
      </c>
      <c r="B24" t="s">
        <v>231</v>
      </c>
    </row>
    <row r="25" spans="1:2" x14ac:dyDescent="0.25">
      <c r="A25" s="11" t="s">
        <v>233</v>
      </c>
      <c r="B25" t="s">
        <v>234</v>
      </c>
    </row>
    <row r="26" spans="1:2" x14ac:dyDescent="0.25">
      <c r="A26" t="s">
        <v>235</v>
      </c>
      <c r="B26" t="s">
        <v>236</v>
      </c>
    </row>
  </sheetData>
  <hyperlinks>
    <hyperlink ref="B6" r:id="rId1" xr:uid="{3FE2430A-167E-4F81-A0B3-DE5D4242E007}"/>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Table</vt:lpstr>
      <vt:lpstr>Dishes</vt:lpstr>
      <vt:lpstr>Berechnung</vt:lpstr>
      <vt:lpstr>My Emissions</vt:lpstr>
      <vt:lpstr>GEMIS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Euler</dc:creator>
  <cp:lastModifiedBy>Simone Euler</cp:lastModifiedBy>
  <dcterms:created xsi:type="dcterms:W3CDTF">2021-07-28T06:42:26Z</dcterms:created>
  <dcterms:modified xsi:type="dcterms:W3CDTF">2021-12-15T16:09:24Z</dcterms:modified>
</cp:coreProperties>
</file>